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/>
  <mc:AlternateContent xmlns:mc="http://schemas.openxmlformats.org/markup-compatibility/2006">
    <mc:Choice Requires="x15">
      <x15ac:absPath xmlns:x15ac="http://schemas.microsoft.com/office/spreadsheetml/2010/11/ac" url="C:\Users\techno\Desktop\TO DELETE\To Delete TODAY\"/>
    </mc:Choice>
  </mc:AlternateContent>
  <xr:revisionPtr revIDLastSave="0" documentId="8_{DCB6149F-034C-4944-8D2C-3724003CD420}" xr6:coauthVersionLast="45" xr6:coauthVersionMax="45" xr10:uidLastSave="{00000000-0000-0000-0000-000000000000}"/>
  <bookViews>
    <workbookView xWindow="-120" yWindow="-120" windowWidth="20730" windowHeight="11160" tabRatio="738" xr2:uid="{00000000-000D-0000-FFFF-FFFF00000000}"/>
  </bookViews>
  <sheets>
    <sheet name="Employer" sheetId="6" r:id="rId1"/>
    <sheet name="Self Employed" sheetId="7" r:id="rId2"/>
    <sheet name="Salary Cap Calc" sheetId="8" r:id="rId3"/>
    <sheet name="Seasonal Employer" sheetId="9" r:id="rId4"/>
    <sheet name="Seasonal Self Employed" sheetId="10" r:id="rId5"/>
    <sheet name="Seasonal Salary Cap Calc" sheetId="11" r:id="rId6"/>
    <sheet name="New Business" sheetId="12" r:id="rId7"/>
    <sheet name="New Bus Self Employed" sheetId="13" r:id="rId8"/>
    <sheet name="New Bus Salary Cap Calc" sheetId="14" r:id="rId9"/>
    <sheet name="D%$&amp;01_DevSheet" sheetId="4" state="veryHidden" r:id="rId10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2" l="1"/>
  <c r="B34" i="9"/>
  <c r="B34" i="6"/>
  <c r="B20" i="13" l="1"/>
  <c r="B24" i="13" s="1"/>
  <c r="B25" i="12"/>
  <c r="B20" i="7"/>
  <c r="B24" i="7" s="1"/>
  <c r="D4" i="14"/>
  <c r="K4" i="14"/>
  <c r="D5" i="14"/>
  <c r="K5" i="14"/>
  <c r="D6" i="14"/>
  <c r="K6" i="14"/>
  <c r="D7" i="14"/>
  <c r="K7" i="14"/>
  <c r="D8" i="14"/>
  <c r="K8" i="14"/>
  <c r="D9" i="14"/>
  <c r="K9" i="14"/>
  <c r="D10" i="14"/>
  <c r="K10" i="14"/>
  <c r="D11" i="14"/>
  <c r="K11" i="14"/>
  <c r="D12" i="14"/>
  <c r="K12" i="14"/>
  <c r="D13" i="14"/>
  <c r="K13" i="14"/>
  <c r="D14" i="14"/>
  <c r="K14" i="14"/>
  <c r="D15" i="14"/>
  <c r="K15" i="14"/>
  <c r="D16" i="14"/>
  <c r="K16" i="14"/>
  <c r="D17" i="14"/>
  <c r="K17" i="14"/>
  <c r="D18" i="14"/>
  <c r="K18" i="14"/>
  <c r="D19" i="14"/>
  <c r="K19" i="14"/>
  <c r="D20" i="14"/>
  <c r="K20" i="14"/>
  <c r="D21" i="14"/>
  <c r="K21" i="14"/>
  <c r="D22" i="14"/>
  <c r="K22" i="14"/>
  <c r="D23" i="14"/>
  <c r="K23" i="14"/>
  <c r="D24" i="14"/>
  <c r="K24" i="14"/>
  <c r="D25" i="14"/>
  <c r="K25" i="14"/>
  <c r="D26" i="14"/>
  <c r="K26" i="14"/>
  <c r="D27" i="14"/>
  <c r="K27" i="14"/>
  <c r="D28" i="14"/>
  <c r="K28" i="14"/>
  <c r="D29" i="14"/>
  <c r="K29" i="14"/>
  <c r="D30" i="14"/>
  <c r="K30" i="14"/>
  <c r="D31" i="14"/>
  <c r="K31" i="14"/>
  <c r="B45" i="12"/>
  <c r="D4" i="11"/>
  <c r="K4" i="11"/>
  <c r="D5" i="11"/>
  <c r="K5" i="11"/>
  <c r="D6" i="11"/>
  <c r="K6" i="11"/>
  <c r="D7" i="11"/>
  <c r="K7" i="11"/>
  <c r="D8" i="11"/>
  <c r="K8" i="11"/>
  <c r="D9" i="11"/>
  <c r="K9" i="11"/>
  <c r="D10" i="11"/>
  <c r="K10" i="11"/>
  <c r="D11" i="11"/>
  <c r="K11" i="11"/>
  <c r="D12" i="11"/>
  <c r="K12" i="11"/>
  <c r="D13" i="11"/>
  <c r="K13" i="11"/>
  <c r="D14" i="11"/>
  <c r="K14" i="11"/>
  <c r="D15" i="11"/>
  <c r="K15" i="11"/>
  <c r="D16" i="11"/>
  <c r="K16" i="11"/>
  <c r="D17" i="11"/>
  <c r="K17" i="11"/>
  <c r="D18" i="11"/>
  <c r="K18" i="11"/>
  <c r="D19" i="11"/>
  <c r="K19" i="11"/>
  <c r="D20" i="11"/>
  <c r="K20" i="11"/>
  <c r="D21" i="11"/>
  <c r="K21" i="11"/>
  <c r="D22" i="11"/>
  <c r="K22" i="11"/>
  <c r="D23" i="11"/>
  <c r="K23" i="11"/>
  <c r="D24" i="11"/>
  <c r="K24" i="11"/>
  <c r="D25" i="11"/>
  <c r="K25" i="11"/>
  <c r="D26" i="11"/>
  <c r="K26" i="11"/>
  <c r="D27" i="11"/>
  <c r="K27" i="11"/>
  <c r="D28" i="11"/>
  <c r="K28" i="11"/>
  <c r="D29" i="11"/>
  <c r="K29" i="11"/>
  <c r="D30" i="11"/>
  <c r="K30" i="11"/>
  <c r="D31" i="11"/>
  <c r="K31" i="11"/>
  <c r="B45" i="9"/>
  <c r="D4" i="8"/>
  <c r="K4" i="8"/>
  <c r="D5" i="8"/>
  <c r="K5" i="8"/>
  <c r="K33" i="8" s="1"/>
  <c r="B25" i="6" s="1"/>
  <c r="D6" i="8"/>
  <c r="K6" i="8"/>
  <c r="D7" i="8"/>
  <c r="K7" i="8"/>
  <c r="D8" i="8"/>
  <c r="K8" i="8"/>
  <c r="D9" i="8"/>
  <c r="K9" i="8"/>
  <c r="D10" i="8"/>
  <c r="K10" i="8"/>
  <c r="D11" i="8"/>
  <c r="K11" i="8"/>
  <c r="D12" i="8"/>
  <c r="K12" i="8"/>
  <c r="D13" i="8"/>
  <c r="K13" i="8"/>
  <c r="D14" i="8"/>
  <c r="K14" i="8"/>
  <c r="D15" i="8"/>
  <c r="K15" i="8"/>
  <c r="D16" i="8"/>
  <c r="K16" i="8"/>
  <c r="D17" i="8"/>
  <c r="K17" i="8"/>
  <c r="D18" i="8"/>
  <c r="K18" i="8"/>
  <c r="D19" i="8"/>
  <c r="K19" i="8"/>
  <c r="D20" i="8"/>
  <c r="K20" i="8"/>
  <c r="D21" i="8"/>
  <c r="K21" i="8"/>
  <c r="D22" i="8"/>
  <c r="K22" i="8"/>
  <c r="D23" i="8"/>
  <c r="K23" i="8"/>
  <c r="D24" i="8"/>
  <c r="K24" i="8"/>
  <c r="D25" i="8"/>
  <c r="K25" i="8"/>
  <c r="D26" i="8"/>
  <c r="K26" i="8"/>
  <c r="D27" i="8"/>
  <c r="K27" i="8"/>
  <c r="D28" i="8"/>
  <c r="K28" i="8"/>
  <c r="D29" i="8"/>
  <c r="K29" i="8"/>
  <c r="D30" i="8"/>
  <c r="K30" i="8"/>
  <c r="D31" i="8"/>
  <c r="K31" i="8"/>
  <c r="B45" i="6"/>
  <c r="B47" i="6" s="1"/>
  <c r="D33" i="8" l="1"/>
  <c r="K33" i="14"/>
  <c r="D33" i="14"/>
  <c r="B5" i="12" s="1"/>
  <c r="B11" i="12" s="1"/>
  <c r="K33" i="11"/>
  <c r="D33" i="11"/>
  <c r="B5" i="9" s="1"/>
  <c r="B11" i="9" s="1"/>
  <c r="B5" i="7"/>
  <c r="B6" i="7" s="1"/>
  <c r="B5" i="6"/>
  <c r="B11" i="6" s="1"/>
  <c r="B5" i="13"/>
  <c r="B6" i="13" s="1"/>
  <c r="B5" i="10"/>
  <c r="B6" i="10" s="1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AZ2" i="4"/>
  <c r="BA2" i="4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DA2" i="4"/>
  <c r="DB2" i="4"/>
  <c r="DC2" i="4"/>
  <c r="DD2" i="4"/>
  <c r="DE2" i="4"/>
  <c r="DF2" i="4"/>
  <c r="DG2" i="4"/>
  <c r="DH2" i="4"/>
  <c r="DI2" i="4"/>
  <c r="DJ2" i="4"/>
  <c r="DK2" i="4"/>
  <c r="DL2" i="4"/>
  <c r="DM2" i="4"/>
  <c r="DN2" i="4"/>
  <c r="DO2" i="4"/>
  <c r="DP2" i="4"/>
  <c r="DQ2" i="4"/>
  <c r="DR2" i="4"/>
  <c r="DS2" i="4"/>
  <c r="DT2" i="4"/>
  <c r="DU2" i="4"/>
  <c r="DV2" i="4"/>
  <c r="DW2" i="4"/>
  <c r="DX2" i="4"/>
  <c r="DY2" i="4"/>
  <c r="DZ2" i="4"/>
  <c r="EA2" i="4"/>
  <c r="EB2" i="4"/>
  <c r="EC2" i="4"/>
  <c r="ED2" i="4"/>
  <c r="EE2" i="4"/>
  <c r="EF2" i="4"/>
  <c r="EG2" i="4"/>
  <c r="EH2" i="4"/>
  <c r="EI2" i="4"/>
  <c r="EJ2" i="4"/>
  <c r="EK2" i="4"/>
  <c r="EL2" i="4"/>
  <c r="EM2" i="4"/>
  <c r="EN2" i="4"/>
  <c r="EO2" i="4"/>
  <c r="EP2" i="4"/>
  <c r="EQ2" i="4"/>
  <c r="ER2" i="4"/>
  <c r="ES2" i="4"/>
  <c r="ET2" i="4"/>
  <c r="EU2" i="4"/>
  <c r="EV2" i="4"/>
  <c r="EW2" i="4"/>
  <c r="EX2" i="4"/>
  <c r="EY2" i="4"/>
  <c r="EZ2" i="4"/>
  <c r="FA2" i="4"/>
  <c r="FB2" i="4"/>
  <c r="FC2" i="4"/>
  <c r="FD2" i="4"/>
  <c r="FE2" i="4"/>
  <c r="FF2" i="4"/>
  <c r="FG2" i="4"/>
  <c r="FH2" i="4"/>
  <c r="FI2" i="4"/>
  <c r="FJ2" i="4"/>
  <c r="FK2" i="4"/>
  <c r="FL2" i="4"/>
  <c r="FM2" i="4"/>
  <c r="FN2" i="4"/>
  <c r="FO2" i="4"/>
  <c r="FP2" i="4"/>
  <c r="FQ2" i="4"/>
  <c r="FR2" i="4"/>
  <c r="FS2" i="4"/>
  <c r="FT2" i="4"/>
  <c r="FU2" i="4"/>
  <c r="FV2" i="4"/>
  <c r="FW2" i="4"/>
  <c r="FX2" i="4"/>
  <c r="FY2" i="4"/>
  <c r="FZ2" i="4"/>
  <c r="GA2" i="4"/>
  <c r="GB2" i="4"/>
  <c r="GC2" i="4"/>
  <c r="GD2" i="4"/>
  <c r="GE2" i="4"/>
  <c r="GF2" i="4"/>
  <c r="GG2" i="4"/>
  <c r="GH2" i="4"/>
  <c r="GI2" i="4"/>
  <c r="GJ2" i="4"/>
  <c r="GK2" i="4"/>
  <c r="GL2" i="4"/>
  <c r="GM2" i="4"/>
  <c r="GN2" i="4"/>
  <c r="GO2" i="4"/>
  <c r="GP2" i="4"/>
  <c r="GQ2" i="4"/>
  <c r="GR2" i="4"/>
  <c r="GS2" i="4"/>
  <c r="GT2" i="4"/>
  <c r="GU2" i="4"/>
  <c r="GV2" i="4"/>
  <c r="GW2" i="4"/>
  <c r="GX2" i="4"/>
  <c r="GY2" i="4"/>
  <c r="GZ2" i="4"/>
  <c r="HA2" i="4"/>
  <c r="HB2" i="4"/>
  <c r="HC2" i="4"/>
  <c r="HD2" i="4"/>
  <c r="HE2" i="4"/>
  <c r="HF2" i="4"/>
  <c r="HG2" i="4"/>
  <c r="HH2" i="4"/>
  <c r="HI2" i="4"/>
  <c r="HJ2" i="4"/>
  <c r="HK2" i="4"/>
  <c r="HL2" i="4"/>
  <c r="HM2" i="4"/>
  <c r="HN2" i="4"/>
  <c r="HO2" i="4"/>
  <c r="HP2" i="4"/>
  <c r="HQ2" i="4"/>
  <c r="HR2" i="4"/>
  <c r="HS2" i="4"/>
  <c r="HT2" i="4"/>
  <c r="HU2" i="4"/>
  <c r="HV2" i="4"/>
  <c r="HW2" i="4"/>
  <c r="HX2" i="4"/>
  <c r="HY2" i="4"/>
  <c r="HZ2" i="4"/>
  <c r="IA2" i="4"/>
  <c r="IB2" i="4"/>
  <c r="IC2" i="4"/>
  <c r="ID2" i="4"/>
  <c r="IE2" i="4"/>
  <c r="IF2" i="4"/>
  <c r="IG2" i="4"/>
  <c r="IH2" i="4"/>
  <c r="II2" i="4"/>
  <c r="IJ2" i="4"/>
  <c r="IK2" i="4"/>
  <c r="IL2" i="4"/>
  <c r="IM2" i="4"/>
  <c r="IN2" i="4"/>
  <c r="IO2" i="4"/>
  <c r="IP2" i="4"/>
  <c r="IQ2" i="4"/>
  <c r="IR2" i="4"/>
  <c r="IS2" i="4"/>
  <c r="IT2" i="4"/>
  <c r="IU2" i="4"/>
  <c r="IV2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CT3" i="4"/>
  <c r="CU3" i="4"/>
  <c r="CV3" i="4"/>
  <c r="CW3" i="4"/>
  <c r="CX3" i="4"/>
  <c r="CY3" i="4"/>
  <c r="CZ3" i="4"/>
  <c r="DA3" i="4"/>
  <c r="DB3" i="4"/>
  <c r="DC3" i="4"/>
  <c r="DD3" i="4"/>
  <c r="DE3" i="4"/>
  <c r="DF3" i="4"/>
  <c r="DG3" i="4"/>
  <c r="DH3" i="4"/>
  <c r="DI3" i="4"/>
  <c r="DJ3" i="4"/>
  <c r="DK3" i="4"/>
  <c r="DL3" i="4"/>
  <c r="DM3" i="4"/>
  <c r="DN3" i="4"/>
  <c r="DO3" i="4"/>
  <c r="DP3" i="4"/>
  <c r="DQ3" i="4"/>
  <c r="DR3" i="4"/>
  <c r="DS3" i="4"/>
  <c r="DT3" i="4"/>
  <c r="DU3" i="4"/>
  <c r="DV3" i="4"/>
  <c r="DW3" i="4"/>
  <c r="DX3" i="4"/>
  <c r="DY3" i="4"/>
  <c r="DZ3" i="4"/>
  <c r="EA3" i="4"/>
  <c r="EB3" i="4"/>
  <c r="EC3" i="4"/>
  <c r="ED3" i="4"/>
  <c r="EE3" i="4"/>
  <c r="EF3" i="4"/>
  <c r="EG3" i="4"/>
  <c r="EH3" i="4"/>
  <c r="EI3" i="4"/>
  <c r="EJ3" i="4"/>
  <c r="EK3" i="4"/>
  <c r="EL3" i="4"/>
  <c r="EM3" i="4"/>
  <c r="EN3" i="4"/>
  <c r="EO3" i="4"/>
  <c r="EP3" i="4"/>
  <c r="EQ3" i="4"/>
  <c r="ER3" i="4"/>
  <c r="ES3" i="4"/>
  <c r="ET3" i="4"/>
  <c r="EU3" i="4"/>
  <c r="EV3" i="4"/>
  <c r="EW3" i="4"/>
  <c r="EX3" i="4"/>
  <c r="EY3" i="4"/>
  <c r="EZ3" i="4"/>
  <c r="FA3" i="4"/>
  <c r="FB3" i="4"/>
  <c r="FC3" i="4"/>
  <c r="FD3" i="4"/>
  <c r="FE3" i="4"/>
  <c r="FF3" i="4"/>
  <c r="FG3" i="4"/>
  <c r="FH3" i="4"/>
  <c r="FI3" i="4"/>
  <c r="FJ3" i="4"/>
  <c r="FK3" i="4"/>
  <c r="FL3" i="4"/>
  <c r="FM3" i="4"/>
  <c r="FN3" i="4"/>
  <c r="FO3" i="4"/>
  <c r="FP3" i="4"/>
  <c r="FQ3" i="4"/>
  <c r="FR3" i="4"/>
  <c r="FS3" i="4"/>
  <c r="FT3" i="4"/>
  <c r="FU3" i="4"/>
  <c r="FV3" i="4"/>
  <c r="FW3" i="4"/>
  <c r="FX3" i="4"/>
  <c r="FY3" i="4"/>
  <c r="FZ3" i="4"/>
  <c r="GA3" i="4"/>
  <c r="GB3" i="4"/>
  <c r="GC3" i="4"/>
  <c r="GD3" i="4"/>
  <c r="GE3" i="4"/>
  <c r="GF3" i="4"/>
  <c r="GG3" i="4"/>
  <c r="GH3" i="4"/>
  <c r="GI3" i="4"/>
  <c r="GJ3" i="4"/>
  <c r="GK3" i="4"/>
  <c r="GL3" i="4"/>
  <c r="GM3" i="4"/>
  <c r="GN3" i="4"/>
  <c r="GO3" i="4"/>
  <c r="GP3" i="4"/>
  <c r="GQ3" i="4"/>
  <c r="GR3" i="4"/>
  <c r="GS3" i="4"/>
  <c r="GT3" i="4"/>
  <c r="GU3" i="4"/>
  <c r="GV3" i="4"/>
  <c r="GW3" i="4"/>
  <c r="GX3" i="4"/>
  <c r="GY3" i="4"/>
  <c r="GZ3" i="4"/>
  <c r="HA3" i="4"/>
  <c r="HB3" i="4"/>
  <c r="HC3" i="4"/>
  <c r="HD3" i="4"/>
  <c r="HE3" i="4"/>
  <c r="HF3" i="4"/>
  <c r="HG3" i="4"/>
  <c r="HH3" i="4"/>
  <c r="HI3" i="4"/>
  <c r="HJ3" i="4"/>
  <c r="HK3" i="4"/>
  <c r="HL3" i="4"/>
  <c r="HM3" i="4"/>
  <c r="HN3" i="4"/>
  <c r="HO3" i="4"/>
  <c r="HP3" i="4"/>
  <c r="HQ3" i="4"/>
  <c r="HR3" i="4"/>
  <c r="HS3" i="4"/>
  <c r="HT3" i="4"/>
  <c r="HU3" i="4"/>
  <c r="HV3" i="4"/>
  <c r="HW3" i="4"/>
  <c r="HX3" i="4"/>
  <c r="HY3" i="4"/>
  <c r="HZ3" i="4"/>
  <c r="IA3" i="4"/>
  <c r="IB3" i="4"/>
  <c r="IC3" i="4"/>
  <c r="ID3" i="4"/>
  <c r="IE3" i="4"/>
  <c r="IF3" i="4"/>
  <c r="IG3" i="4"/>
  <c r="IH3" i="4"/>
  <c r="II3" i="4"/>
  <c r="IJ3" i="4"/>
  <c r="IK3" i="4"/>
  <c r="IL3" i="4"/>
  <c r="IM3" i="4"/>
  <c r="IN3" i="4"/>
  <c r="IO3" i="4"/>
  <c r="IP3" i="4"/>
  <c r="IQ3" i="4"/>
  <c r="IR3" i="4"/>
  <c r="IS3" i="4"/>
  <c r="IT3" i="4"/>
  <c r="IU3" i="4"/>
  <c r="IV3" i="4"/>
  <c r="F4" i="4"/>
  <c r="G4" i="4"/>
  <c r="H4" i="4"/>
  <c r="F1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X1" i="4"/>
  <c r="Y1" i="4"/>
  <c r="Z1" i="4"/>
  <c r="AA1" i="4"/>
  <c r="AB1" i="4"/>
  <c r="AC1" i="4"/>
  <c r="AD1" i="4"/>
  <c r="AE1" i="4"/>
  <c r="AF1" i="4"/>
  <c r="AG1" i="4"/>
  <c r="AH1" i="4"/>
  <c r="AI1" i="4"/>
  <c r="AJ1" i="4"/>
  <c r="AK1" i="4"/>
  <c r="AL1" i="4"/>
  <c r="AM1" i="4"/>
  <c r="AN1" i="4"/>
  <c r="AO1" i="4"/>
  <c r="AP1" i="4"/>
  <c r="AQ1" i="4"/>
  <c r="AR1" i="4"/>
  <c r="AS1" i="4"/>
  <c r="AT1" i="4"/>
  <c r="AU1" i="4"/>
  <c r="AV1" i="4"/>
  <c r="AW1" i="4"/>
  <c r="AX1" i="4"/>
  <c r="AY1" i="4"/>
  <c r="AZ1" i="4"/>
  <c r="BA1" i="4"/>
  <c r="BB1" i="4"/>
  <c r="BC1" i="4"/>
  <c r="BD1" i="4"/>
  <c r="BE1" i="4"/>
  <c r="BF1" i="4"/>
  <c r="BG1" i="4"/>
  <c r="BH1" i="4"/>
  <c r="BI1" i="4"/>
  <c r="BJ1" i="4"/>
  <c r="BK1" i="4"/>
  <c r="BL1" i="4"/>
  <c r="BM1" i="4"/>
  <c r="BN1" i="4"/>
  <c r="BO1" i="4"/>
  <c r="BP1" i="4"/>
  <c r="BQ1" i="4"/>
  <c r="BR1" i="4"/>
  <c r="BS1" i="4"/>
  <c r="BT1" i="4"/>
  <c r="BU1" i="4"/>
  <c r="BV1" i="4"/>
  <c r="BW1" i="4"/>
  <c r="BX1" i="4"/>
  <c r="BY1" i="4"/>
  <c r="BZ1" i="4"/>
  <c r="CA1" i="4"/>
  <c r="CB1" i="4"/>
  <c r="CC1" i="4"/>
  <c r="CD1" i="4"/>
  <c r="CE1" i="4"/>
  <c r="CF1" i="4"/>
  <c r="CG1" i="4"/>
  <c r="CH1" i="4"/>
  <c r="CI1" i="4"/>
  <c r="CJ1" i="4"/>
  <c r="CK1" i="4"/>
  <c r="CL1" i="4"/>
  <c r="CM1" i="4"/>
  <c r="CN1" i="4"/>
  <c r="CO1" i="4"/>
  <c r="CP1" i="4"/>
  <c r="CQ1" i="4"/>
  <c r="CR1" i="4"/>
  <c r="CS1" i="4"/>
  <c r="CT1" i="4"/>
  <c r="CU1" i="4"/>
  <c r="CV1" i="4"/>
  <c r="CW1" i="4"/>
  <c r="CX1" i="4"/>
  <c r="CY1" i="4"/>
  <c r="CZ1" i="4"/>
  <c r="DA1" i="4"/>
  <c r="DB1" i="4"/>
  <c r="DC1" i="4"/>
  <c r="DD1" i="4"/>
  <c r="DE1" i="4"/>
  <c r="DF1" i="4"/>
  <c r="DG1" i="4"/>
  <c r="DH1" i="4"/>
  <c r="DI1" i="4"/>
  <c r="DJ1" i="4"/>
  <c r="DK1" i="4"/>
  <c r="DL1" i="4"/>
  <c r="DM1" i="4"/>
  <c r="DN1" i="4"/>
  <c r="DO1" i="4"/>
  <c r="DP1" i="4"/>
  <c r="DQ1" i="4"/>
  <c r="DR1" i="4"/>
  <c r="DS1" i="4"/>
  <c r="DT1" i="4"/>
  <c r="DU1" i="4"/>
  <c r="DV1" i="4"/>
  <c r="DW1" i="4"/>
  <c r="DX1" i="4"/>
  <c r="DY1" i="4"/>
  <c r="DZ1" i="4"/>
  <c r="EA1" i="4"/>
  <c r="EB1" i="4"/>
  <c r="EC1" i="4"/>
  <c r="ED1" i="4"/>
  <c r="EE1" i="4"/>
  <c r="EF1" i="4"/>
  <c r="EG1" i="4"/>
  <c r="EH1" i="4"/>
  <c r="EI1" i="4"/>
  <c r="EJ1" i="4"/>
  <c r="EK1" i="4"/>
  <c r="EL1" i="4"/>
  <c r="EM1" i="4"/>
  <c r="EN1" i="4"/>
  <c r="EO1" i="4"/>
  <c r="EP1" i="4"/>
  <c r="EQ1" i="4"/>
  <c r="ER1" i="4"/>
  <c r="ES1" i="4"/>
  <c r="ET1" i="4"/>
  <c r="EU1" i="4"/>
  <c r="EV1" i="4"/>
  <c r="EW1" i="4"/>
  <c r="EX1" i="4"/>
  <c r="EY1" i="4"/>
  <c r="EZ1" i="4"/>
  <c r="FA1" i="4"/>
  <c r="FB1" i="4"/>
  <c r="FC1" i="4"/>
  <c r="FD1" i="4"/>
  <c r="FE1" i="4"/>
  <c r="FF1" i="4"/>
  <c r="FG1" i="4"/>
  <c r="FH1" i="4"/>
  <c r="FI1" i="4"/>
  <c r="FJ1" i="4"/>
  <c r="FK1" i="4"/>
  <c r="FL1" i="4"/>
  <c r="FM1" i="4"/>
  <c r="FN1" i="4"/>
  <c r="FO1" i="4"/>
  <c r="FP1" i="4"/>
  <c r="FQ1" i="4"/>
  <c r="FR1" i="4"/>
  <c r="FS1" i="4"/>
  <c r="FT1" i="4"/>
  <c r="FU1" i="4"/>
  <c r="FV1" i="4"/>
  <c r="FW1" i="4"/>
  <c r="FX1" i="4"/>
  <c r="FY1" i="4"/>
  <c r="FZ1" i="4"/>
  <c r="GA1" i="4"/>
  <c r="GB1" i="4"/>
  <c r="GC1" i="4"/>
  <c r="GD1" i="4"/>
  <c r="GE1" i="4"/>
  <c r="GF1" i="4"/>
  <c r="GG1" i="4"/>
  <c r="GH1" i="4"/>
  <c r="GI1" i="4"/>
  <c r="GJ1" i="4"/>
  <c r="GK1" i="4"/>
  <c r="GL1" i="4"/>
  <c r="GM1" i="4"/>
  <c r="GN1" i="4"/>
  <c r="GO1" i="4"/>
  <c r="GP1" i="4"/>
  <c r="GQ1" i="4"/>
  <c r="GR1" i="4"/>
  <c r="GS1" i="4"/>
  <c r="GT1" i="4"/>
  <c r="GU1" i="4"/>
  <c r="GV1" i="4"/>
  <c r="GW1" i="4"/>
  <c r="GX1" i="4"/>
  <c r="GY1" i="4"/>
  <c r="GZ1" i="4"/>
  <c r="HA1" i="4"/>
  <c r="HB1" i="4"/>
  <c r="HC1" i="4"/>
  <c r="HD1" i="4"/>
  <c r="HE1" i="4"/>
  <c r="HF1" i="4"/>
  <c r="HG1" i="4"/>
  <c r="HH1" i="4"/>
  <c r="HI1" i="4"/>
  <c r="HJ1" i="4"/>
  <c r="HK1" i="4"/>
  <c r="HL1" i="4"/>
  <c r="HM1" i="4"/>
  <c r="HN1" i="4"/>
  <c r="HO1" i="4"/>
  <c r="HP1" i="4"/>
  <c r="HQ1" i="4"/>
  <c r="HR1" i="4"/>
  <c r="HS1" i="4"/>
  <c r="HT1" i="4"/>
  <c r="HU1" i="4"/>
  <c r="HV1" i="4"/>
  <c r="HW1" i="4"/>
  <c r="HX1" i="4"/>
  <c r="HY1" i="4"/>
  <c r="HZ1" i="4"/>
  <c r="IA1" i="4"/>
  <c r="IB1" i="4"/>
  <c r="IC1" i="4"/>
  <c r="ID1" i="4"/>
  <c r="IE1" i="4"/>
  <c r="IF1" i="4"/>
  <c r="IG1" i="4"/>
  <c r="IH1" i="4"/>
  <c r="II1" i="4"/>
  <c r="IJ1" i="4"/>
  <c r="IK1" i="4"/>
  <c r="IL1" i="4"/>
  <c r="IM1" i="4"/>
  <c r="IN1" i="4"/>
  <c r="IO1" i="4"/>
  <c r="IP1" i="4"/>
  <c r="IQ1" i="4"/>
  <c r="IR1" i="4"/>
  <c r="IS1" i="4"/>
  <c r="IT1" i="4"/>
  <c r="IU1" i="4"/>
  <c r="IV1" i="4"/>
  <c r="B8" i="13" l="1"/>
  <c r="B14" i="13" s="1"/>
  <c r="B26" i="13" s="1"/>
  <c r="B28" i="13" s="1"/>
  <c r="B31" i="13" s="1"/>
  <c r="B13" i="12"/>
  <c r="B19" i="12" s="1"/>
  <c r="B36" i="12" s="1"/>
  <c r="B38" i="12" s="1"/>
  <c r="B47" i="12" s="1"/>
  <c r="B49" i="12" s="1"/>
  <c r="B8" i="10"/>
  <c r="B14" i="10" s="1"/>
  <c r="B26" i="10" s="1"/>
  <c r="B13" i="9"/>
  <c r="B19" i="9" s="1"/>
  <c r="B36" i="9" s="1"/>
  <c r="B8" i="7"/>
  <c r="B14" i="7" s="1"/>
  <c r="B26" i="7" s="1"/>
  <c r="B28" i="7" s="1"/>
  <c r="B31" i="7" s="1"/>
  <c r="B20" i="10"/>
  <c r="B24" i="10" s="1"/>
  <c r="B25" i="9"/>
  <c r="B28" i="10" l="1"/>
  <c r="B31" i="10" s="1"/>
  <c r="B38" i="9"/>
  <c r="B47" i="9" s="1"/>
  <c r="B49" i="9" s="1"/>
  <c r="B13" i="6"/>
  <c r="B19" i="6" s="1"/>
  <c r="B36" i="6" l="1"/>
  <c r="B38" i="6" s="1"/>
  <c r="B49" i="6" s="1"/>
  <c r="B51" i="6" s="1"/>
</calcChain>
</file>

<file path=xl/sharedStrings.xml><?xml version="1.0" encoding="utf-8"?>
<sst xmlns="http://schemas.openxmlformats.org/spreadsheetml/2006/main" count="245" uniqueCount="60">
  <si>
    <t>D%$&amp;01_d66266bc379447459297de30ca127abc</t>
  </si>
  <si>
    <t>Carmichael, Melissa_7170_Bremer_Windows (32-bit) NT 6.01_LBMN12090231_s446915$$$24062016</t>
  </si>
  <si>
    <t>")$a!758"</t>
  </si>
  <si>
    <t>Estimated Net Loan Forgiveness</t>
  </si>
  <si>
    <t>Total % Loan Available for Forgiveness</t>
  </si>
  <si>
    <t>Lesser of these amounts</t>
  </si>
  <si>
    <t>Average FTEs per month 1/1/20-2/29/20</t>
  </si>
  <si>
    <t>Average FTEs Per pay period 2/15/19-6/30/19</t>
  </si>
  <si>
    <t>Total FTEs at 6/30/2020</t>
  </si>
  <si>
    <t>Average FTEs Per Month for the 8 weeks following loan</t>
  </si>
  <si>
    <t>Estimated expenses eligible for loan forgiveness</t>
  </si>
  <si>
    <t>Limited to amount of loan</t>
  </si>
  <si>
    <t>Total Expenses Qualified for loan forgiveness</t>
  </si>
  <si>
    <t>Utilities</t>
  </si>
  <si>
    <t>Mortgage Interest</t>
  </si>
  <si>
    <t>Rent</t>
  </si>
  <si>
    <t xml:space="preserve">enter as positive </t>
  </si>
  <si>
    <t>Enter amounts paid in 8-weeks following loan</t>
  </si>
  <si>
    <t>Expenses Qualified for Loan Forgiveness</t>
  </si>
  <si>
    <t>Estimated Loan Amount</t>
  </si>
  <si>
    <t>Average Monthly Payroll Cost</t>
  </si>
  <si>
    <t>Total Payroll Costs</t>
  </si>
  <si>
    <t>Paycheck Protection Loan - Estimate</t>
  </si>
  <si>
    <t>Less: Net Self Employment Income &gt; $100,000/person</t>
  </si>
  <si>
    <t>Net Self Employment Income</t>
  </si>
  <si>
    <t xml:space="preserve">Employee </t>
  </si>
  <si>
    <t>NON SEASONAL BUSINESS - Enter amounts paid in 8-weeks following loan</t>
  </si>
  <si>
    <r>
      <t>SEASONAL BUSINESS - Enter amounts for 12-week period beginning Feb 15, 2019</t>
    </r>
    <r>
      <rPr>
        <b/>
        <i/>
        <sz val="11"/>
        <color rgb="FFFF0000"/>
        <rFont val="Calibri"/>
        <family val="2"/>
      </rPr>
      <t xml:space="preserve"> or </t>
    </r>
    <r>
      <rPr>
        <b/>
        <sz val="11"/>
        <color rgb="FFFF0000"/>
        <rFont val="Calibri"/>
        <family val="2"/>
      </rPr>
      <t>March 1, 2019</t>
    </r>
  </si>
  <si>
    <t>SEASONAL BUSINESS - Enter amounts paid in 8-weeks following loan</t>
  </si>
  <si>
    <t>Average FTEs Per pay period 1/1/2020-2/29/2020</t>
  </si>
  <si>
    <t>BUSINESS NOT IN OPERATION 2019 - Enter amounts for January and February 2020</t>
  </si>
  <si>
    <t>Amount exceeding $16,667
(pro-rated for covered period)</t>
  </si>
  <si>
    <t>BUSINESS NOT IN OPERATION 2019 - Enter amounts paid in 8-weeks following loan</t>
  </si>
  <si>
    <t>Complete 'Seasonal Cap Calc' tab</t>
  </si>
  <si>
    <t>Average FTEs per pay period 2/15/19-6/30/19</t>
  </si>
  <si>
    <t>Employer paid retirement benefits</t>
  </si>
  <si>
    <t>Less: Compensation of employees residing outside United States</t>
  </si>
  <si>
    <t>Employer paid health insurance costs, including insurance premiums</t>
  </si>
  <si>
    <t>Multiplier</t>
  </si>
  <si>
    <t>Employer paid State and local taxes on compensation of employees</t>
  </si>
  <si>
    <t>**Payroll costs consist of compensation to employees (whose principal place of residence is the United States) in the form of salary, wages, commissions, or similar compensation; cash tips or the equivalent (based on employer records of past tips or, in the absence of such records, a reasonable, good-faith employer estimate of such tips); payment for vacation, parental, family, medical, or sick leave; allowance for separation or dismissal; payment for the provision of employee benefits consisting of group health care coverage, including insurance premiums, and retirement; payment of state and local taxes assessed on compensation of employees; and for an independent contractor or sole proprietor, wage, commissions, income, or net earnings from self-employment or similar compensation.</t>
  </si>
  <si>
    <t>NON SEASONAL BUSINESS - Enter annual amounts for 2019 or rolling 12 months before date of loan</t>
  </si>
  <si>
    <r>
      <t xml:space="preserve">If you have </t>
    </r>
    <r>
      <rPr>
        <b/>
        <i/>
        <sz val="11"/>
        <color rgb="FFFF0000"/>
        <rFont val="Calibri"/>
        <family val="2"/>
      </rPr>
      <t>received</t>
    </r>
    <r>
      <rPr>
        <b/>
        <sz val="11"/>
        <color rgb="FFFF0000"/>
        <rFont val="Calibri"/>
        <family val="2"/>
      </rPr>
      <t xml:space="preserve"> funds from an Economic Injury Disaster Loan (EIDL) between January 31, 2020 and April 3, 2020, please contact your banker.</t>
    </r>
  </si>
  <si>
    <r>
      <t xml:space="preserve">Compensation of employees </t>
    </r>
    <r>
      <rPr>
        <sz val="8"/>
        <rFont val="Calibri"/>
        <family val="2"/>
      </rPr>
      <t>(see definition; not to include payroll or income taxes paid)</t>
    </r>
  </si>
  <si>
    <t>Remaining Loan Estimate  (to be amortized over 2 years at 1.00%)</t>
  </si>
  <si>
    <t>Less: Qualified Sick and Family Leave under FFCRA</t>
  </si>
  <si>
    <t>Less: Compensation in excess of annual salary of $100,000/person</t>
  </si>
  <si>
    <t>Complete 'Salary Cap Calc' tab</t>
  </si>
  <si>
    <t xml:space="preserve">** Not more than 25 percent of the loan forgiveness amount may be attributable to nonpayroll costs. </t>
  </si>
  <si>
    <t>LOAN AMOUNT - Compensation paid to an employee in excess of an annual salary of $100,000 and/or any amounts paid to an independent contractor or sole proprietor in excess of $100,000 per year.</t>
  </si>
  <si>
    <t>LOAN FORGIVENESS - Compensation paid to an employee in excess of an annual salary of $100,000 and/or any amounts paid to an independent contractor or sole proprietor in excess of $100,000 per year.</t>
  </si>
  <si>
    <t>Excess Salary
(amounts &gt; $100,000)</t>
  </si>
  <si>
    <t>Excess Salary
(amounts &gt; $15,385)</t>
  </si>
  <si>
    <t>Salaries or Net Self Employment Income in excess of $100,000</t>
  </si>
  <si>
    <t>Excess Salary
(amounts &gt; $23,077)</t>
  </si>
  <si>
    <t>Complete 'New Bus Salary Cap Calc' tab</t>
  </si>
  <si>
    <t>Jan and Feb Salary or 
Net Self Employment Income</t>
  </si>
  <si>
    <t>Actual 8-week Salary or 
Net Self Employment Income</t>
  </si>
  <si>
    <t>12-week Salary or 
Net Self Employment Income</t>
  </si>
  <si>
    <t>Annual Salary or 
Net Self Employment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</si>
</sst>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21" x14ac:knownFonts="1">
    <font>
      <sz val="1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FF0000"/>
      <name val="Calibri"/>
      <family val="2"/>
    </font>
    <font>
      <b/>
      <sz val="10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i/>
      <sz val="11"/>
      <color rgb="FFFF0000"/>
      <name val="Calibri"/>
      <family val="2"/>
    </font>
    <font>
      <b/>
      <sz val="11"/>
      <color rgb="FF000000"/>
      <name val="Calibri"/>
      <family val="2"/>
    </font>
    <font>
      <u val="singleAccounting"/>
      <sz val="11"/>
      <color rgb="FF000000"/>
      <name val="Calibri"/>
      <family val="2"/>
    </font>
    <font>
      <b/>
      <u val="doubleAccounting"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</font>
    <font>
      <sz val="11"/>
      <color theme="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 applyAlignment="1">
      <alignment horizontal="left" vertical="top"/>
    </xf>
    <xf numFmtId="2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2" fontId="5" fillId="0" borderId="0" xfId="1" applyNumberFormat="1" applyFont="1" applyAlignment="1">
      <alignment vertical="top" wrapText="1"/>
    </xf>
    <xf numFmtId="0" fontId="5" fillId="0" borderId="0" xfId="1" applyFont="1" applyAlignment="1">
      <alignment vertical="top" wrapText="1"/>
    </xf>
    <xf numFmtId="44" fontId="5" fillId="0" borderId="0" xfId="2" applyFont="1" applyFill="1" applyBorder="1" applyAlignment="1">
      <alignment vertical="top" wrapText="1"/>
    </xf>
    <xf numFmtId="43" fontId="4" fillId="0" borderId="0" xfId="4" applyFont="1" applyFill="1" applyBorder="1" applyAlignment="1">
      <alignment vertical="top" wrapText="1"/>
    </xf>
    <xf numFmtId="0" fontId="4" fillId="0" borderId="0" xfId="1" applyFont="1" applyAlignment="1">
      <alignment horizontal="left" vertical="top" wrapText="1" indent="1"/>
    </xf>
    <xf numFmtId="43" fontId="4" fillId="0" borderId="0" xfId="4" applyFont="1" applyFill="1" applyBorder="1" applyAlignment="1">
      <alignment horizontal="left" vertical="top" wrapText="1" indent="1"/>
    </xf>
    <xf numFmtId="0" fontId="6" fillId="0" borderId="0" xfId="1" applyFont="1" applyAlignment="1">
      <alignment horizontal="left" vertical="top"/>
    </xf>
    <xf numFmtId="16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44" fontId="4" fillId="0" borderId="0" xfId="2" applyFont="1" applyFill="1" applyBorder="1" applyAlignment="1">
      <alignment vertical="top" wrapText="1"/>
    </xf>
    <xf numFmtId="43" fontId="4" fillId="0" borderId="0" xfId="4" applyFont="1" applyFill="1" applyBorder="1" applyAlignment="1" applyProtection="1">
      <alignment vertical="top" wrapText="1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vertical="top" wrapText="1"/>
    </xf>
    <xf numFmtId="0" fontId="10" fillId="0" borderId="0" xfId="1" applyFont="1" applyAlignment="1">
      <alignment vertical="top" wrapText="1"/>
    </xf>
    <xf numFmtId="43" fontId="4" fillId="2" borderId="0" xfId="4" applyFont="1" applyFill="1" applyBorder="1" applyAlignment="1" applyProtection="1">
      <alignment vertical="top"/>
      <protection locked="0"/>
    </xf>
    <xf numFmtId="44" fontId="4" fillId="3" borderId="0" xfId="2" applyFont="1" applyFill="1" applyBorder="1" applyAlignment="1" applyProtection="1">
      <alignment vertical="top" wrapText="1"/>
      <protection locked="0"/>
    </xf>
    <xf numFmtId="43" fontId="4" fillId="3" borderId="0" xfId="4" applyFont="1" applyFill="1" applyBorder="1" applyAlignment="1" applyProtection="1">
      <alignment vertical="top" wrapText="1"/>
      <protection locked="0"/>
    </xf>
    <xf numFmtId="44" fontId="4" fillId="4" borderId="0" xfId="2" applyFont="1" applyFill="1" applyBorder="1" applyAlignment="1" applyProtection="1">
      <alignment vertical="top" wrapText="1"/>
      <protection locked="0"/>
    </xf>
    <xf numFmtId="43" fontId="4" fillId="4" borderId="0" xfId="4" applyFont="1" applyFill="1" applyBorder="1" applyAlignment="1" applyProtection="1">
      <alignment vertical="top" wrapText="1"/>
      <protection locked="0"/>
    </xf>
    <xf numFmtId="43" fontId="4" fillId="4" borderId="0" xfId="4" applyFont="1" applyFill="1" applyBorder="1" applyAlignment="1" applyProtection="1">
      <alignment vertical="top"/>
      <protection locked="0"/>
    </xf>
    <xf numFmtId="44" fontId="4" fillId="4" borderId="0" xfId="2" applyFont="1" applyFill="1" applyBorder="1" applyAlignment="1" applyProtection="1">
      <alignment vertical="top"/>
      <protection locked="0"/>
    </xf>
    <xf numFmtId="43" fontId="4" fillId="3" borderId="0" xfId="4" applyFont="1" applyFill="1" applyBorder="1" applyAlignment="1" applyProtection="1">
      <alignment vertical="top"/>
      <protection locked="0"/>
    </xf>
    <xf numFmtId="44" fontId="4" fillId="3" borderId="0" xfId="2" applyFont="1" applyFill="1" applyBorder="1" applyAlignment="1" applyProtection="1">
      <alignment vertical="top"/>
      <protection locked="0"/>
    </xf>
    <xf numFmtId="0" fontId="2" fillId="5" borderId="0" xfId="1" applyFont="1" applyFill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5" borderId="0" xfId="1" applyFont="1" applyFill="1" applyAlignment="1">
      <alignment horizontal="left" vertical="top"/>
    </xf>
    <xf numFmtId="43" fontId="12" fillId="0" borderId="0" xfId="4" applyFont="1" applyFill="1" applyBorder="1" applyAlignment="1">
      <alignment horizontal="left"/>
    </xf>
    <xf numFmtId="43" fontId="12" fillId="0" borderId="0" xfId="4" applyFont="1" applyFill="1" applyBorder="1" applyAlignment="1">
      <alignment horizontal="center" wrapText="1"/>
    </xf>
    <xf numFmtId="0" fontId="12" fillId="0" borderId="0" xfId="1" applyFont="1" applyAlignment="1">
      <alignment horizontal="left" vertical="top"/>
    </xf>
    <xf numFmtId="0" fontId="12" fillId="5" borderId="0" xfId="1" applyFont="1" applyFill="1" applyAlignment="1">
      <alignment horizontal="left" vertical="top"/>
    </xf>
    <xf numFmtId="44" fontId="3" fillId="0" borderId="0" xfId="2" applyFont="1" applyFill="1" applyBorder="1" applyAlignment="1" applyProtection="1">
      <alignment horizontal="left" vertical="top"/>
    </xf>
    <xf numFmtId="44" fontId="2" fillId="0" borderId="0" xfId="1" applyNumberFormat="1" applyFont="1" applyAlignment="1">
      <alignment horizontal="left" vertical="top"/>
    </xf>
    <xf numFmtId="43" fontId="3" fillId="0" borderId="0" xfId="4" applyFont="1" applyFill="1" applyBorder="1" applyAlignment="1" applyProtection="1">
      <alignment horizontal="left" vertical="top"/>
    </xf>
    <xf numFmtId="43" fontId="13" fillId="0" borderId="0" xfId="4" applyFont="1" applyFill="1" applyBorder="1" applyAlignment="1" applyProtection="1">
      <alignment horizontal="left" vertical="top"/>
    </xf>
    <xf numFmtId="43" fontId="3" fillId="0" borderId="0" xfId="4" applyFont="1" applyFill="1" applyBorder="1" applyAlignment="1">
      <alignment horizontal="left" vertical="top"/>
    </xf>
    <xf numFmtId="44" fontId="14" fillId="0" borderId="0" xfId="2" applyFont="1" applyFill="1" applyBorder="1" applyAlignment="1" applyProtection="1">
      <alignment horizontal="left" vertical="top"/>
    </xf>
    <xf numFmtId="43" fontId="15" fillId="0" borderId="0" xfId="4" applyFont="1" applyFill="1" applyBorder="1" applyAlignment="1">
      <alignment horizontal="left"/>
    </xf>
    <xf numFmtId="43" fontId="15" fillId="0" borderId="0" xfId="4" applyFont="1" applyFill="1" applyBorder="1" applyAlignment="1">
      <alignment horizontal="center" wrapText="1"/>
    </xf>
    <xf numFmtId="0" fontId="15" fillId="0" borderId="0" xfId="1" applyFont="1" applyAlignment="1">
      <alignment horizontal="left" vertical="top"/>
    </xf>
    <xf numFmtId="0" fontId="15" fillId="5" borderId="0" xfId="1" applyFont="1" applyFill="1" applyAlignment="1">
      <alignment horizontal="left" vertical="top"/>
    </xf>
    <xf numFmtId="2" fontId="4" fillId="0" borderId="0" xfId="1" applyNumberFormat="1" applyFont="1" applyFill="1" applyAlignment="1">
      <alignment vertical="top" wrapText="1"/>
    </xf>
    <xf numFmtId="43" fontId="4" fillId="3" borderId="1" xfId="4" applyFont="1" applyFill="1" applyBorder="1" applyAlignment="1" applyProtection="1">
      <alignment vertical="top" wrapText="1"/>
      <protection locked="0"/>
    </xf>
    <xf numFmtId="43" fontId="4" fillId="4" borderId="1" xfId="4" applyFont="1" applyFill="1" applyBorder="1" applyAlignment="1" applyProtection="1">
      <alignment vertical="top" wrapText="1"/>
      <protection locked="0"/>
    </xf>
    <xf numFmtId="44" fontId="5" fillId="0" borderId="2" xfId="2" applyFont="1" applyFill="1" applyBorder="1" applyAlignment="1">
      <alignment vertical="top" wrapText="1"/>
    </xf>
    <xf numFmtId="164" fontId="17" fillId="0" borderId="1" xfId="4" applyNumberFormat="1" applyFont="1" applyFill="1" applyBorder="1" applyAlignment="1">
      <alignment vertical="top" wrapText="1"/>
    </xf>
    <xf numFmtId="44" fontId="4" fillId="0" borderId="1" xfId="2" applyFont="1" applyFill="1" applyBorder="1" applyAlignment="1">
      <alignment vertical="top" wrapText="1"/>
    </xf>
    <xf numFmtId="44" fontId="5" fillId="0" borderId="3" xfId="2" applyFont="1" applyFill="1" applyBorder="1" applyAlignment="1">
      <alignment vertical="top" wrapText="1"/>
    </xf>
    <xf numFmtId="10" fontId="4" fillId="0" borderId="1" xfId="3" applyNumberFormat="1" applyFont="1" applyFill="1" applyBorder="1" applyAlignment="1">
      <alignment vertical="top" wrapText="1"/>
    </xf>
    <xf numFmtId="44" fontId="5" fillId="0" borderId="1" xfId="2" applyFont="1" applyFill="1" applyBorder="1" applyAlignment="1">
      <alignment vertical="top" wrapText="1"/>
    </xf>
    <xf numFmtId="43" fontId="4" fillId="0" borderId="1" xfId="4" applyFont="1" applyFill="1" applyBorder="1" applyAlignment="1" applyProtection="1">
      <alignment vertical="top" wrapText="1"/>
    </xf>
    <xf numFmtId="164" fontId="17" fillId="0" borderId="0" xfId="4" applyNumberFormat="1" applyFont="1" applyFill="1" applyBorder="1" applyAlignment="1">
      <alignment vertical="top" wrapText="1"/>
    </xf>
    <xf numFmtId="0" fontId="8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9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top" wrapText="1"/>
    </xf>
    <xf numFmtId="0" fontId="18" fillId="0" borderId="0" xfId="1" applyFont="1" applyAlignment="1">
      <alignment horizontal="center" vertical="top" wrapText="1"/>
    </xf>
  </cellXfs>
  <cellStyles count="5">
    <cellStyle name="Comma 2" xfId="4" xr:uid="{4264E17E-4739-48FD-BDDD-618CDCE58D12}"/>
    <cellStyle name="Currency 2" xfId="2" xr:uid="{77BD3654-90A1-4EE5-ADEA-FC276795EC4B}"/>
    <cellStyle name="Normal" xfId="0" builtinId="0" customBuiltin="1"/>
    <cellStyle name="Normal 2" xfId="1" xr:uid="{E30E4498-3B4D-4E0E-B48F-130353CB690F}"/>
    <cellStyle name="Percent 2" xfId="3" xr:uid="{A3EBF6FF-B7DB-4ED6-B8B4-10FCCC2DBC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New Office Theme - 504PM">
  <a:themeElements>
    <a:clrScheme name="Bremer Brand Palette - Office">
      <a:dk1>
        <a:srgbClr val="000000"/>
      </a:dk1>
      <a:lt1>
        <a:srgbClr val="FFFFFF"/>
      </a:lt1>
      <a:dk2>
        <a:srgbClr val="002E5D"/>
      </a:dk2>
      <a:lt2>
        <a:srgbClr val="4EC3E0"/>
      </a:lt2>
      <a:accent1>
        <a:srgbClr val="002E5D"/>
      </a:accent1>
      <a:accent2>
        <a:srgbClr val="4EC3E0"/>
      </a:accent2>
      <a:accent3>
        <a:srgbClr val="46275D"/>
      </a:accent3>
      <a:accent4>
        <a:srgbClr val="992430"/>
      </a:accent4>
      <a:accent5>
        <a:srgbClr val="EAA22E"/>
      </a:accent5>
      <a:accent6>
        <a:srgbClr val="A1A43A"/>
      </a:accent6>
      <a:hlink>
        <a:srgbClr val="0B85FF"/>
      </a:hlink>
      <a:folHlink>
        <a:srgbClr val="A925F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New Office Theme - 504PM" id="{872AEDCE-0236-4CF0-8282-4EA3F546FCB5}" vid="{202C0E8B-65EA-4E25-9AAA-163A2A92C2B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ED577-EDA4-4C46-AA5C-C831A1008D71}">
  <sheetPr>
    <tabColor theme="2" tint="0.39997558519241921"/>
    <pageSetUpPr fitToPage="1"/>
  </sheetPr>
  <dimension ref="A1:J53"/>
  <sheetViews>
    <sheetView tabSelected="1" zoomScaleNormal="100" workbookViewId="0">
      <selection activeCell="B4" sqref="B4"/>
    </sheetView>
  </sheetViews>
  <sheetFormatPr defaultRowHeight="15" x14ac:dyDescent="0.2"/>
  <cols>
    <col min="1" max="1" width="73.25" style="1" customWidth="1"/>
    <col min="2" max="2" width="15.625" style="2" customWidth="1"/>
    <col min="3" max="3" width="24.75" style="1" customWidth="1"/>
    <col min="4" max="4" width="1.375" style="1" customWidth="1"/>
    <col min="5" max="16384" width="9" style="1"/>
  </cols>
  <sheetData>
    <row r="1" spans="1:10" ht="21" x14ac:dyDescent="0.2">
      <c r="A1" s="18" t="s">
        <v>22</v>
      </c>
      <c r="B1" s="5"/>
      <c r="C1" s="18"/>
      <c r="D1" s="18"/>
    </row>
    <row r="2" spans="1:10" ht="18.75" x14ac:dyDescent="0.2">
      <c r="A2" s="17" t="s">
        <v>19</v>
      </c>
      <c r="B2" s="5"/>
    </row>
    <row r="3" spans="1:10" x14ac:dyDescent="0.2">
      <c r="A3" s="58" t="s">
        <v>41</v>
      </c>
      <c r="B3" s="58"/>
    </row>
    <row r="4" spans="1:10" ht="17.25" customHeight="1" x14ac:dyDescent="0.2">
      <c r="A4" s="3" t="s">
        <v>43</v>
      </c>
      <c r="B4" s="20">
        <v>0</v>
      </c>
      <c r="E4" s="59" t="s">
        <v>40</v>
      </c>
      <c r="F4" s="59"/>
      <c r="G4" s="59"/>
      <c r="H4" s="59"/>
      <c r="I4" s="59"/>
      <c r="J4" s="59"/>
    </row>
    <row r="5" spans="1:10" x14ac:dyDescent="0.2">
      <c r="A5" s="9" t="s">
        <v>46</v>
      </c>
      <c r="B5" s="15">
        <f>'Salary Cap Calc'!D33</f>
        <v>0</v>
      </c>
      <c r="C5" s="1" t="s">
        <v>47</v>
      </c>
      <c r="E5" s="59"/>
      <c r="F5" s="59"/>
      <c r="G5" s="59"/>
      <c r="H5" s="59"/>
      <c r="I5" s="59"/>
      <c r="J5" s="59"/>
    </row>
    <row r="6" spans="1:10" x14ac:dyDescent="0.2">
      <c r="A6" s="9" t="s">
        <v>36</v>
      </c>
      <c r="B6" s="21">
        <v>0</v>
      </c>
      <c r="C6" s="1" t="s">
        <v>16</v>
      </c>
      <c r="E6" s="59"/>
      <c r="F6" s="59"/>
      <c r="G6" s="59"/>
      <c r="H6" s="59"/>
      <c r="I6" s="59"/>
      <c r="J6" s="59"/>
    </row>
    <row r="7" spans="1:10" x14ac:dyDescent="0.2">
      <c r="A7" s="9" t="s">
        <v>45</v>
      </c>
      <c r="B7" s="21">
        <v>0</v>
      </c>
      <c r="C7" s="1" t="s">
        <v>16</v>
      </c>
      <c r="E7" s="59"/>
      <c r="F7" s="59"/>
      <c r="G7" s="59"/>
      <c r="H7" s="59"/>
      <c r="I7" s="59"/>
      <c r="J7" s="59"/>
    </row>
    <row r="8" spans="1:10" x14ac:dyDescent="0.2">
      <c r="A8" s="3" t="s">
        <v>37</v>
      </c>
      <c r="B8" s="21">
        <v>0</v>
      </c>
      <c r="E8" s="59"/>
      <c r="F8" s="59"/>
      <c r="G8" s="59"/>
      <c r="H8" s="59"/>
      <c r="I8" s="59"/>
      <c r="J8" s="59"/>
    </row>
    <row r="9" spans="1:10" x14ac:dyDescent="0.2">
      <c r="A9" s="3" t="s">
        <v>35</v>
      </c>
      <c r="B9" s="21">
        <v>0</v>
      </c>
      <c r="E9" s="59"/>
      <c r="F9" s="59"/>
      <c r="G9" s="59"/>
      <c r="H9" s="59"/>
      <c r="I9" s="59"/>
      <c r="J9" s="59"/>
    </row>
    <row r="10" spans="1:10" x14ac:dyDescent="0.2">
      <c r="A10" s="3" t="s">
        <v>39</v>
      </c>
      <c r="B10" s="46">
        <v>0</v>
      </c>
      <c r="E10" s="59"/>
      <c r="F10" s="59"/>
      <c r="G10" s="59"/>
      <c r="H10" s="59"/>
      <c r="I10" s="59"/>
      <c r="J10" s="59"/>
    </row>
    <row r="11" spans="1:10" x14ac:dyDescent="0.2">
      <c r="A11" s="3" t="s">
        <v>21</v>
      </c>
      <c r="B11" s="14">
        <f>MAX(0,B4-B5-B6-B7+B8+B9+B10)</f>
        <v>0</v>
      </c>
      <c r="E11" s="59"/>
      <c r="F11" s="59"/>
      <c r="G11" s="59"/>
      <c r="H11" s="59"/>
      <c r="I11" s="59"/>
      <c r="J11" s="59"/>
    </row>
    <row r="12" spans="1:10" s="13" customFormat="1" x14ac:dyDescent="0.2">
      <c r="A12" s="6"/>
      <c r="B12" s="5"/>
    </row>
    <row r="13" spans="1:10" x14ac:dyDescent="0.2">
      <c r="A13" s="3" t="s">
        <v>20</v>
      </c>
      <c r="B13" s="50">
        <f>+B11/12</f>
        <v>0</v>
      </c>
    </row>
    <row r="14" spans="1:10" x14ac:dyDescent="0.2">
      <c r="A14" s="3"/>
      <c r="B14" s="4"/>
    </row>
    <row r="15" spans="1:10" x14ac:dyDescent="0.2">
      <c r="A15" s="3" t="s">
        <v>38</v>
      </c>
      <c r="B15" s="49">
        <v>2.5</v>
      </c>
    </row>
    <row r="16" spans="1:10" x14ac:dyDescent="0.2">
      <c r="A16" s="3"/>
      <c r="B16" s="55"/>
    </row>
    <row r="17" spans="1:5" x14ac:dyDescent="0.2">
      <c r="A17" s="56" t="s">
        <v>42</v>
      </c>
      <c r="B17" s="55"/>
    </row>
    <row r="18" spans="1:5" x14ac:dyDescent="0.2">
      <c r="A18" s="3"/>
      <c r="B18" s="55"/>
    </row>
    <row r="19" spans="1:5" ht="15.75" thickBot="1" x14ac:dyDescent="0.25">
      <c r="A19" s="6" t="s">
        <v>19</v>
      </c>
      <c r="B19" s="48">
        <f>MIN(B13*B15,10000000)</f>
        <v>0</v>
      </c>
    </row>
    <row r="20" spans="1:5" ht="15.75" thickTop="1" x14ac:dyDescent="0.2">
      <c r="A20" s="6"/>
      <c r="B20" s="5"/>
    </row>
    <row r="21" spans="1:5" x14ac:dyDescent="0.2">
      <c r="A21" s="6"/>
      <c r="B21" s="5"/>
    </row>
    <row r="22" spans="1:5" ht="18.75" x14ac:dyDescent="0.2">
      <c r="A22" s="17" t="s">
        <v>18</v>
      </c>
      <c r="B22" s="5"/>
    </row>
    <row r="23" spans="1:5" x14ac:dyDescent="0.2">
      <c r="A23" s="16" t="s">
        <v>17</v>
      </c>
      <c r="B23" s="4"/>
    </row>
    <row r="24" spans="1:5" ht="16.5" customHeight="1" x14ac:dyDescent="0.2">
      <c r="A24" s="3" t="s">
        <v>43</v>
      </c>
      <c r="B24" s="22">
        <v>0</v>
      </c>
    </row>
    <row r="25" spans="1:5" x14ac:dyDescent="0.2">
      <c r="A25" s="9" t="s">
        <v>46</v>
      </c>
      <c r="B25" s="15">
        <f>'Salary Cap Calc'!K33</f>
        <v>0</v>
      </c>
      <c r="C25" s="1" t="s">
        <v>47</v>
      </c>
    </row>
    <row r="26" spans="1:5" x14ac:dyDescent="0.2">
      <c r="A26" s="9" t="s">
        <v>36</v>
      </c>
      <c r="B26" s="23">
        <v>0</v>
      </c>
      <c r="C26" s="1" t="s">
        <v>16</v>
      </c>
    </row>
    <row r="27" spans="1:5" x14ac:dyDescent="0.2">
      <c r="A27" s="9" t="s">
        <v>45</v>
      </c>
      <c r="B27" s="23">
        <v>0</v>
      </c>
      <c r="C27" s="1" t="s">
        <v>16</v>
      </c>
    </row>
    <row r="28" spans="1:5" x14ac:dyDescent="0.2">
      <c r="A28" s="3" t="s">
        <v>37</v>
      </c>
      <c r="B28" s="23">
        <v>0</v>
      </c>
    </row>
    <row r="29" spans="1:5" x14ac:dyDescent="0.2">
      <c r="A29" s="3" t="s">
        <v>35</v>
      </c>
      <c r="B29" s="23">
        <v>0</v>
      </c>
    </row>
    <row r="30" spans="1:5" x14ac:dyDescent="0.2">
      <c r="A30" s="3" t="s">
        <v>39</v>
      </c>
      <c r="B30" s="23">
        <v>0</v>
      </c>
    </row>
    <row r="31" spans="1:5" x14ac:dyDescent="0.2">
      <c r="A31" s="3" t="s">
        <v>15</v>
      </c>
      <c r="B31" s="23">
        <v>0</v>
      </c>
      <c r="C31" s="60" t="s">
        <v>48</v>
      </c>
      <c r="D31" s="57"/>
      <c r="E31" s="57"/>
    </row>
    <row r="32" spans="1:5" x14ac:dyDescent="0.2">
      <c r="A32" s="3" t="s">
        <v>14</v>
      </c>
      <c r="B32" s="23">
        <v>0</v>
      </c>
      <c r="C32" s="60"/>
    </row>
    <row r="33" spans="1:7" x14ac:dyDescent="0.2">
      <c r="A33" s="3" t="s">
        <v>13</v>
      </c>
      <c r="B33" s="47">
        <v>0</v>
      </c>
      <c r="C33" s="60"/>
    </row>
    <row r="34" spans="1:7" x14ac:dyDescent="0.2">
      <c r="A34" s="3" t="s">
        <v>12</v>
      </c>
      <c r="B34" s="14">
        <f>MAX(0,B24-B25-B26-B27+B28+B29+B30+B31+B32+B33)</f>
        <v>0</v>
      </c>
    </row>
    <row r="35" spans="1:7" x14ac:dyDescent="0.2">
      <c r="A35" s="3"/>
      <c r="B35" s="4"/>
    </row>
    <row r="36" spans="1:7" x14ac:dyDescent="0.2">
      <c r="A36" s="3" t="s">
        <v>11</v>
      </c>
      <c r="B36" s="14">
        <f>B19</f>
        <v>0</v>
      </c>
    </row>
    <row r="37" spans="1:7" x14ac:dyDescent="0.2">
      <c r="A37" s="3"/>
      <c r="B37" s="4"/>
    </row>
    <row r="38" spans="1:7" s="13" customFormat="1" x14ac:dyDescent="0.2">
      <c r="A38" s="6" t="s">
        <v>10</v>
      </c>
      <c r="B38" s="7">
        <f>MIN(B34,B36)</f>
        <v>0</v>
      </c>
    </row>
    <row r="39" spans="1:7" x14ac:dyDescent="0.2">
      <c r="A39" s="3"/>
      <c r="B39" s="4"/>
    </row>
    <row r="40" spans="1:7" x14ac:dyDescent="0.2">
      <c r="A40" s="9" t="s">
        <v>9</v>
      </c>
      <c r="B40" s="23">
        <v>0</v>
      </c>
    </row>
    <row r="41" spans="1:7" x14ac:dyDescent="0.2">
      <c r="A41" s="9" t="s">
        <v>8</v>
      </c>
      <c r="B41" s="23">
        <v>0</v>
      </c>
      <c r="F41" s="12"/>
      <c r="G41" s="11"/>
    </row>
    <row r="42" spans="1:7" x14ac:dyDescent="0.2">
      <c r="A42" s="9"/>
      <c r="B42" s="10"/>
    </row>
    <row r="43" spans="1:7" x14ac:dyDescent="0.2">
      <c r="A43" s="9" t="s">
        <v>34</v>
      </c>
      <c r="B43" s="23">
        <v>0</v>
      </c>
    </row>
    <row r="44" spans="1:7" x14ac:dyDescent="0.2">
      <c r="A44" s="9" t="s">
        <v>6</v>
      </c>
      <c r="B44" s="23">
        <v>0</v>
      </c>
    </row>
    <row r="45" spans="1:7" x14ac:dyDescent="0.2">
      <c r="A45" s="9" t="s">
        <v>5</v>
      </c>
      <c r="B45" s="8">
        <f>MIN(B43,B44)</f>
        <v>0</v>
      </c>
    </row>
    <row r="46" spans="1:7" x14ac:dyDescent="0.2">
      <c r="A46" s="3"/>
      <c r="B46" s="4"/>
    </row>
    <row r="47" spans="1:7" x14ac:dyDescent="0.2">
      <c r="A47" s="3" t="s">
        <v>4</v>
      </c>
      <c r="B47" s="52">
        <f>IF(B41&gt;=B45,1,B40/B45)</f>
        <v>1</v>
      </c>
    </row>
    <row r="48" spans="1:7" x14ac:dyDescent="0.2">
      <c r="A48" s="3"/>
      <c r="B48" s="4"/>
    </row>
    <row r="49" spans="1:4" ht="15.75" thickBot="1" x14ac:dyDescent="0.25">
      <c r="A49" s="6" t="s">
        <v>3</v>
      </c>
      <c r="B49" s="51">
        <f>MIN(B38,B19*B47)</f>
        <v>0</v>
      </c>
    </row>
    <row r="50" spans="1:4" ht="15.75" thickTop="1" x14ac:dyDescent="0.2">
      <c r="A50" s="6"/>
      <c r="B50" s="5"/>
    </row>
    <row r="51" spans="1:4" x14ac:dyDescent="0.2">
      <c r="A51" s="6" t="s">
        <v>44</v>
      </c>
      <c r="B51" s="7">
        <f>+B19-B49</f>
        <v>0</v>
      </c>
    </row>
    <row r="52" spans="1:4" x14ac:dyDescent="0.2">
      <c r="A52" s="6"/>
      <c r="B52" s="5"/>
    </row>
    <row r="53" spans="1:4" x14ac:dyDescent="0.2">
      <c r="A53" s="3"/>
      <c r="B53" s="4"/>
      <c r="C53" s="3"/>
      <c r="D53" s="3"/>
    </row>
  </sheetData>
  <sheetProtection algorithmName="SHA-512" hashValue="b0KIjSHAL9JoHYxyPYhxO0ucEiRD/nVvKqwjwPo1boM1LZAdjv46V1BMx7aKMrluDdYOM4cOxYUedyhcw7WrYA==" saltValue="OVh7S/ij+UePJRPQeBPeew==" spinCount="100000" sheet="1" objects="1" scenarios="1"/>
  <mergeCells count="3">
    <mergeCell ref="A3:B3"/>
    <mergeCell ref="E4:J11"/>
    <mergeCell ref="C31:C33"/>
  </mergeCells>
  <pageMargins left="0.7" right="0.7" top="0.75" bottom="0.75" header="0.3" footer="0.3"/>
  <pageSetup scale="7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"/>
  <sheetViews>
    <sheetView workbookViewId="0"/>
  </sheetViews>
  <sheetFormatPr defaultRowHeight="14.25" x14ac:dyDescent="0.2"/>
  <sheetData>
    <row r="1" spans="1:256" x14ac:dyDescent="0.2">
      <c r="A1" t="s">
        <v>0</v>
      </c>
      <c r="F1" t="e">
        <f>#REF!*")$a!&amp;"</f>
        <v>#REF!</v>
      </c>
      <c r="G1" t="e">
        <f>#REF!*")$a!'"</f>
        <v>#REF!</v>
      </c>
      <c r="H1" t="e">
        <f>#REF!*")$a!("</f>
        <v>#REF!</v>
      </c>
      <c r="I1" t="e">
        <f>#REF!*")$a!)"</f>
        <v>#REF!</v>
      </c>
      <c r="J1" t="e">
        <f>#REF!*")$a!."</f>
        <v>#REF!</v>
      </c>
      <c r="K1" t="e">
        <f>#REF!*")$a!/"</f>
        <v>#REF!</v>
      </c>
      <c r="L1" t="e">
        <f>#REF!*")$a!0"</f>
        <v>#REF!</v>
      </c>
      <c r="M1" t="e">
        <f>#REF!*")$a!1"</f>
        <v>#REF!</v>
      </c>
      <c r="N1" t="e">
        <f>#REF!*")$a!2"</f>
        <v>#REF!</v>
      </c>
      <c r="O1" t="e">
        <f>#REF!*")$a!3"</f>
        <v>#REF!</v>
      </c>
      <c r="P1" t="e">
        <f>#REF!*")$a!4"</f>
        <v>#REF!</v>
      </c>
      <c r="Q1" t="e">
        <f>#REF!*")$a!5"</f>
        <v>#REF!</v>
      </c>
      <c r="R1" t="e">
        <f>#REF!*")$a!6"</f>
        <v>#REF!</v>
      </c>
      <c r="S1" t="e">
        <f>#REF!*")$a!7"</f>
        <v>#REF!</v>
      </c>
      <c r="T1" t="e">
        <f>#REF!*")$a!8"</f>
        <v>#REF!</v>
      </c>
      <c r="U1" t="e">
        <f>#REF!*")$a!9"</f>
        <v>#REF!</v>
      </c>
      <c r="V1" t="e">
        <f>#REF!*")$a!:"</f>
        <v>#REF!</v>
      </c>
      <c r="W1" t="e">
        <f>#REF!*")$a!;"</f>
        <v>#REF!</v>
      </c>
      <c r="X1" t="e">
        <f>#REF!*")$a!&lt;"</f>
        <v>#REF!</v>
      </c>
      <c r="Y1" t="e">
        <f>#REF!*")$a!="</f>
        <v>#REF!</v>
      </c>
      <c r="Z1" t="e">
        <f>#REF!*")$a!&gt;"</f>
        <v>#REF!</v>
      </c>
      <c r="AA1" t="e">
        <f>#REF!*")$a!?"</f>
        <v>#REF!</v>
      </c>
      <c r="AB1" t="e">
        <f>#REF!*")$a!@"</f>
        <v>#REF!</v>
      </c>
      <c r="AC1" t="e">
        <f>#REF!*")$a!A"</f>
        <v>#REF!</v>
      </c>
      <c r="AD1" t="e">
        <f>#REF!*")$a!B"</f>
        <v>#REF!</v>
      </c>
      <c r="AE1" t="e">
        <f>#REF!*")$a!C"</f>
        <v>#REF!</v>
      </c>
      <c r="AF1" t="e">
        <f>#REF!*")$a!D"</f>
        <v>#REF!</v>
      </c>
      <c r="AG1" t="e">
        <f>#REF!*")$a!E"</f>
        <v>#REF!</v>
      </c>
      <c r="AH1" t="e">
        <f>#REF!*")$a!F"</f>
        <v>#REF!</v>
      </c>
      <c r="AI1" t="e">
        <f>#REF!*")$a!G"</f>
        <v>#REF!</v>
      </c>
      <c r="AJ1" t="e">
        <f>#REF!*")$a!H"</f>
        <v>#REF!</v>
      </c>
      <c r="AK1" t="e">
        <f>#REF!*")$a!I"</f>
        <v>#REF!</v>
      </c>
      <c r="AL1" t="e">
        <f>#REF!*")$a!J"</f>
        <v>#REF!</v>
      </c>
      <c r="AM1" t="e">
        <f>#REF!*")$a!K"</f>
        <v>#REF!</v>
      </c>
      <c r="AN1" t="e">
        <f>#REF!*")$a!L"</f>
        <v>#REF!</v>
      </c>
      <c r="AO1" t="e">
        <f>#REF!*")$a!M"</f>
        <v>#REF!</v>
      </c>
      <c r="AP1" t="e">
        <f>#REF!*")$a!N"</f>
        <v>#REF!</v>
      </c>
      <c r="AQ1" t="e">
        <f>#REF!*")$a!O"</f>
        <v>#REF!</v>
      </c>
      <c r="AR1" t="e">
        <f>#REF!*")$a!P"</f>
        <v>#REF!</v>
      </c>
      <c r="AS1" t="e">
        <f>#REF!*")$a!Q"</f>
        <v>#REF!</v>
      </c>
      <c r="AT1" t="e">
        <f>#REF!*")$a!R"</f>
        <v>#REF!</v>
      </c>
      <c r="AU1" t="e">
        <f>#REF!*")$a!S"</f>
        <v>#REF!</v>
      </c>
      <c r="AV1" t="e">
        <f>#REF!*")$a!T"</f>
        <v>#REF!</v>
      </c>
      <c r="AW1" t="e">
        <f>#REF!*")$a!U"</f>
        <v>#REF!</v>
      </c>
      <c r="AX1" t="e">
        <f>#REF!*")$a!V"</f>
        <v>#REF!</v>
      </c>
      <c r="AY1" t="e">
        <f>#REF!*")$a!W"</f>
        <v>#REF!</v>
      </c>
      <c r="AZ1" t="e">
        <f>#REF!*")$a!X"</f>
        <v>#REF!</v>
      </c>
      <c r="BA1" t="e">
        <f>#REF!*")$a!Y"</f>
        <v>#REF!</v>
      </c>
      <c r="BB1" t="e">
        <f>#REF!*")$a!Z"</f>
        <v>#REF!</v>
      </c>
      <c r="BC1" t="e">
        <f>#REF!*")$a!["</f>
        <v>#REF!</v>
      </c>
      <c r="BD1" t="e">
        <f>#REF!*")$a!\"</f>
        <v>#REF!</v>
      </c>
      <c r="BE1" t="e">
        <f>#REF!-")$a!]"</f>
        <v>#REF!</v>
      </c>
      <c r="BF1" t="e">
        <f>#REF!-")$a!^"</f>
        <v>#REF!</v>
      </c>
      <c r="BG1" t="e">
        <f>#REF!-")$a!_"</f>
        <v>#REF!</v>
      </c>
      <c r="BH1" t="e">
        <f>#REF!-")$a!`"</f>
        <v>#REF!</v>
      </c>
      <c r="BI1" t="e">
        <f>#REF!-")$a!a"</f>
        <v>#REF!</v>
      </c>
      <c r="BJ1" t="e">
        <f>#REF!-")$a!b"</f>
        <v>#REF!</v>
      </c>
      <c r="BK1" t="e">
        <f>#REF!-")$a!c"</f>
        <v>#REF!</v>
      </c>
      <c r="BL1" t="e">
        <f>#REF!-")$a!d"</f>
        <v>#REF!</v>
      </c>
      <c r="BM1" t="e">
        <f>#REF!-")$a!e"</f>
        <v>#REF!</v>
      </c>
      <c r="BN1" t="e">
        <f>#REF!-")$a!f"</f>
        <v>#REF!</v>
      </c>
      <c r="BO1" t="e">
        <f>#REF!-")$a!g"</f>
        <v>#REF!</v>
      </c>
      <c r="BP1" t="e">
        <f>#REF!-")$a!h"</f>
        <v>#REF!</v>
      </c>
      <c r="BQ1" t="e">
        <f>#REF!-")$a!i"</f>
        <v>#REF!</v>
      </c>
      <c r="BR1" t="e">
        <f>#REF!-")$a!j"</f>
        <v>#REF!</v>
      </c>
      <c r="BS1" t="e">
        <f>#REF!-")$a!k"</f>
        <v>#REF!</v>
      </c>
      <c r="BT1" t="e">
        <f>#REF!-")$a!l"</f>
        <v>#REF!</v>
      </c>
      <c r="BU1" t="e">
        <f>#REF!-")$a!m"</f>
        <v>#REF!</v>
      </c>
      <c r="BV1" t="e">
        <f>#REF!-")$a!n"</f>
        <v>#REF!</v>
      </c>
      <c r="BW1" t="e">
        <f>#REF!-")$a!o"</f>
        <v>#REF!</v>
      </c>
      <c r="BX1" t="e">
        <f>#REF!-")$a!p"</f>
        <v>#REF!</v>
      </c>
      <c r="BY1" t="e">
        <f>#REF!-")$a!q"</f>
        <v>#REF!</v>
      </c>
      <c r="BZ1" t="e">
        <f>#REF!-")$a!r"</f>
        <v>#REF!</v>
      </c>
      <c r="CA1" t="e">
        <f>#REF!-")$a!s"</f>
        <v>#REF!</v>
      </c>
      <c r="CB1" t="e">
        <f>#REF!-")$a!t"</f>
        <v>#REF!</v>
      </c>
      <c r="CC1" t="e">
        <f>#REF!-")$a!u"</f>
        <v>#REF!</v>
      </c>
      <c r="CD1" t="e">
        <f>#REF!-")$a!v"</f>
        <v>#REF!</v>
      </c>
      <c r="CE1" t="e">
        <f>#REF!-")$a!w"</f>
        <v>#REF!</v>
      </c>
      <c r="CF1" t="e">
        <f>#REF!-")$a!x"</f>
        <v>#REF!</v>
      </c>
      <c r="CG1" t="e">
        <f>#REF!-")$a!y"</f>
        <v>#REF!</v>
      </c>
      <c r="CH1" t="e">
        <f>#REF!-")$a!z"</f>
        <v>#REF!</v>
      </c>
      <c r="CI1" t="e">
        <f>#REF!-")$a!{"</f>
        <v>#REF!</v>
      </c>
      <c r="CJ1" t="e">
        <f>#REF!-")$a!|"</f>
        <v>#REF!</v>
      </c>
      <c r="CK1" t="e">
        <f>#REF!-")$a!}"</f>
        <v>#REF!</v>
      </c>
      <c r="CL1" t="e">
        <f>#REF!-")$a!~"</f>
        <v>#REF!</v>
      </c>
      <c r="CM1" t="e">
        <f>#REF!-")$a!$#"</f>
        <v>#REF!</v>
      </c>
      <c r="CN1" t="e">
        <f>#REF!-")$a!$$"</f>
        <v>#REF!</v>
      </c>
      <c r="CO1" t="e">
        <f>#REF!-")$a!$%"</f>
        <v>#REF!</v>
      </c>
      <c r="CP1" t="e">
        <f>#REF!-")$a!$&amp;"</f>
        <v>#REF!</v>
      </c>
      <c r="CQ1" t="e">
        <f>#REF!-")$a!$'"</f>
        <v>#REF!</v>
      </c>
      <c r="CR1" t="e">
        <f>#REF!-")$a!$("</f>
        <v>#REF!</v>
      </c>
      <c r="CS1" t="e">
        <f>#REF!-")$a!$)"</f>
        <v>#REF!</v>
      </c>
      <c r="CT1" t="e">
        <f>#REF!-")$a!$."</f>
        <v>#REF!</v>
      </c>
      <c r="CU1" t="e">
        <f>#REF!-")$a!$/"</f>
        <v>#REF!</v>
      </c>
      <c r="CV1" t="e">
        <f>#REF!-")$a!$0"</f>
        <v>#REF!</v>
      </c>
      <c r="CW1" t="e">
        <f>#REF!-")$a!$1"</f>
        <v>#REF!</v>
      </c>
      <c r="CX1" t="e">
        <f>#REF!-")$a!$2"</f>
        <v>#REF!</v>
      </c>
      <c r="CY1" t="e">
        <f>#REF!-")$a!$3"</f>
        <v>#REF!</v>
      </c>
      <c r="CZ1" t="e">
        <f>#REF!-")$a!$4"</f>
        <v>#REF!</v>
      </c>
      <c r="DA1" t="e">
        <f>#REF!-")$a!$5"</f>
        <v>#REF!</v>
      </c>
      <c r="DB1" t="e">
        <f>#REF!-")$a!$6"</f>
        <v>#REF!</v>
      </c>
      <c r="DC1" t="e">
        <f>#REF!-")$a!$7"</f>
        <v>#REF!</v>
      </c>
      <c r="DD1" t="e">
        <f>#REF!-")$a!$8"</f>
        <v>#REF!</v>
      </c>
      <c r="DE1" t="e">
        <f>#REF!-")$a!$9"</f>
        <v>#REF!</v>
      </c>
      <c r="DF1" t="e">
        <f>#REF!-")$a!$:"</f>
        <v>#REF!</v>
      </c>
      <c r="DG1" t="e">
        <f>#REF!-")$a!$;"</f>
        <v>#REF!</v>
      </c>
      <c r="DH1" t="e">
        <f>#REF!-")$a!$&lt;"</f>
        <v>#REF!</v>
      </c>
      <c r="DI1" t="e">
        <f>#REF!-")$a!$="</f>
        <v>#REF!</v>
      </c>
      <c r="DJ1" t="e">
        <f>#REF!-")$a!$&gt;"</f>
        <v>#REF!</v>
      </c>
      <c r="DK1" t="e">
        <f>#REF!-")$a!$?"</f>
        <v>#REF!</v>
      </c>
      <c r="DL1" t="e">
        <f>#REF!-")$a!$@"</f>
        <v>#REF!</v>
      </c>
      <c r="DM1" t="e">
        <f>#REF!-")$a!$A"</f>
        <v>#REF!</v>
      </c>
      <c r="DN1" t="e">
        <f>#REF!-")$a!$B"</f>
        <v>#REF!</v>
      </c>
      <c r="DO1" t="e">
        <f>#REF!-")$a!$C"</f>
        <v>#REF!</v>
      </c>
      <c r="DP1" t="e">
        <f>#REF!-")$a!$D"</f>
        <v>#REF!</v>
      </c>
      <c r="DQ1" t="e">
        <f>#REF!-")$a!$E"</f>
        <v>#REF!</v>
      </c>
      <c r="DR1" t="e">
        <f>#REF!-")$a!$F"</f>
        <v>#REF!</v>
      </c>
      <c r="DS1" t="e">
        <f>#REF!-")$a!$G"</f>
        <v>#REF!</v>
      </c>
      <c r="DT1" t="e">
        <f>#REF!-")$a!$H"</f>
        <v>#REF!</v>
      </c>
      <c r="DU1" t="e">
        <f>#REF!-")$a!$I"</f>
        <v>#REF!</v>
      </c>
      <c r="DV1" t="e">
        <f>#REF!-")$a!$J"</f>
        <v>#REF!</v>
      </c>
      <c r="DW1" t="e">
        <f>#REF!-")$a!$K"</f>
        <v>#REF!</v>
      </c>
      <c r="DX1" t="e">
        <f>#REF!-")$a!$L"</f>
        <v>#REF!</v>
      </c>
      <c r="DY1" t="e">
        <f>#REF!-")$a!$M"</f>
        <v>#REF!</v>
      </c>
      <c r="DZ1" t="e">
        <f>#REF!-")$a!$N"</f>
        <v>#REF!</v>
      </c>
      <c r="EA1" t="e">
        <f>#REF!-")$a!$O"</f>
        <v>#REF!</v>
      </c>
      <c r="EB1" t="e">
        <f>#REF!-")$a!$P"</f>
        <v>#REF!</v>
      </c>
      <c r="EC1" t="e">
        <f>#REF!-")$a!$Q"</f>
        <v>#REF!</v>
      </c>
      <c r="ED1" t="e">
        <f>#REF!-")$a!$R"</f>
        <v>#REF!</v>
      </c>
      <c r="EE1" t="e">
        <f>#REF!-")$a!$S"</f>
        <v>#REF!</v>
      </c>
      <c r="EF1" t="e">
        <f>#REF!-")$a!$T"</f>
        <v>#REF!</v>
      </c>
      <c r="EG1" t="e">
        <f>#REF!-")$a!$U"</f>
        <v>#REF!</v>
      </c>
      <c r="EH1" t="e">
        <f>#REF!-")$a!$V"</f>
        <v>#REF!</v>
      </c>
      <c r="EI1" t="e">
        <f>#REF!-")$a!$W"</f>
        <v>#REF!</v>
      </c>
      <c r="EJ1" t="e">
        <f>#REF!-")$a!$X"</f>
        <v>#REF!</v>
      </c>
      <c r="EK1" t="e">
        <f>#REF!-")$a!$Y"</f>
        <v>#REF!</v>
      </c>
      <c r="EL1" t="e">
        <f>#REF!-")$a!$Z"</f>
        <v>#REF!</v>
      </c>
      <c r="EM1" t="e">
        <f>#REF!-")$a!$["</f>
        <v>#REF!</v>
      </c>
      <c r="EN1" t="e">
        <f>#REF!-")$a!$\"</f>
        <v>#REF!</v>
      </c>
      <c r="EO1" t="e">
        <f>#REF!-")$a!$]"</f>
        <v>#REF!</v>
      </c>
      <c r="EP1" t="e">
        <f>#REF!-")$a!$^"</f>
        <v>#REF!</v>
      </c>
      <c r="EQ1" t="e">
        <f>#REF!-")$a!$_"</f>
        <v>#REF!</v>
      </c>
      <c r="ER1" t="e">
        <f>#REF!-")$a!$`"</f>
        <v>#REF!</v>
      </c>
      <c r="ES1" t="e">
        <f>#REF!-")$a!$a"</f>
        <v>#REF!</v>
      </c>
      <c r="ET1" t="e">
        <f>#REF!-")$a!$b"</f>
        <v>#REF!</v>
      </c>
      <c r="EU1" t="e">
        <f>#REF!-")$a!$c"</f>
        <v>#REF!</v>
      </c>
      <c r="EV1" t="e">
        <f>#REF!-")$a!$d"</f>
        <v>#REF!</v>
      </c>
      <c r="EW1" t="e">
        <f>#REF!-")$a!$e"</f>
        <v>#REF!</v>
      </c>
      <c r="EX1" t="e">
        <f>#REF!-")$a!$f"</f>
        <v>#REF!</v>
      </c>
      <c r="EY1" t="e">
        <f>#REF!-")$a!$g"</f>
        <v>#REF!</v>
      </c>
      <c r="EZ1" t="e">
        <f>#REF!-")$a!$h"</f>
        <v>#REF!</v>
      </c>
      <c r="FA1" t="e">
        <f>#REF!-")$a!$i"</f>
        <v>#REF!</v>
      </c>
      <c r="FB1" t="e">
        <f>#REF!-")$a!$j"</f>
        <v>#REF!</v>
      </c>
      <c r="FC1" t="e">
        <f>#REF!-")$a!$k"</f>
        <v>#REF!</v>
      </c>
      <c r="FD1" t="e">
        <f>#REF!-")$a!$l"</f>
        <v>#REF!</v>
      </c>
      <c r="FE1" t="e">
        <f>#REF!-")$a!$m"</f>
        <v>#REF!</v>
      </c>
      <c r="FF1" t="e">
        <f>#REF!-")$a!$n"</f>
        <v>#REF!</v>
      </c>
      <c r="FG1" t="e">
        <f>#REF!-")$a!$o"</f>
        <v>#REF!</v>
      </c>
      <c r="FH1" t="e">
        <f>#REF!-")$a!$p"</f>
        <v>#REF!</v>
      </c>
      <c r="FI1" t="e">
        <f>#REF!-")$a!$q"</f>
        <v>#REF!</v>
      </c>
      <c r="FJ1" t="e">
        <f>#REF!-")$a!$r"</f>
        <v>#REF!</v>
      </c>
      <c r="FK1" t="e">
        <f>#REF!-")$a!$s"</f>
        <v>#REF!</v>
      </c>
      <c r="FL1" t="e">
        <f>#REF!-")$a!$t"</f>
        <v>#REF!</v>
      </c>
      <c r="FM1" t="e">
        <f>#REF!-")$a!$u"</f>
        <v>#REF!</v>
      </c>
      <c r="FN1" t="e">
        <f>#REF!-")$a!$v"</f>
        <v>#REF!</v>
      </c>
      <c r="FO1" t="e">
        <f>#REF!-")$a!$w"</f>
        <v>#REF!</v>
      </c>
      <c r="FP1" t="e">
        <f>#REF!-")$a!$x"</f>
        <v>#REF!</v>
      </c>
      <c r="FQ1" t="e">
        <f>#REF!-")$a!$y"</f>
        <v>#REF!</v>
      </c>
      <c r="FR1" t="e">
        <f>#REF!-")$a!$z"</f>
        <v>#REF!</v>
      </c>
      <c r="FS1" t="e">
        <f>#REF!-")$a!${"</f>
        <v>#REF!</v>
      </c>
      <c r="FT1" t="e">
        <f>#REF!-")$a!$|"</f>
        <v>#REF!</v>
      </c>
      <c r="FU1" t="e">
        <f>#REF!-")$a!$}"</f>
        <v>#REF!</v>
      </c>
      <c r="FV1" t="e">
        <f>#REF!-")$a!$~"</f>
        <v>#REF!</v>
      </c>
      <c r="FW1" t="e">
        <f>#REF!-")$a!%#"</f>
        <v>#REF!</v>
      </c>
      <c r="FX1" t="e">
        <f>#REF!-")$a!%$"</f>
        <v>#REF!</v>
      </c>
      <c r="FY1" t="e">
        <f>#REF!-")$a!%%"</f>
        <v>#REF!</v>
      </c>
      <c r="FZ1" t="e">
        <f>#REF!-")$a!%&amp;"</f>
        <v>#REF!</v>
      </c>
      <c r="GA1" t="e">
        <f>#REF!-")$a!%'"</f>
        <v>#REF!</v>
      </c>
      <c r="GB1" t="e">
        <f>#REF!-")$a!%("</f>
        <v>#REF!</v>
      </c>
      <c r="GC1" t="e">
        <f>#REF!-")$a!%)"</f>
        <v>#REF!</v>
      </c>
      <c r="GD1" t="e">
        <f>#REF!-")$a!%."</f>
        <v>#REF!</v>
      </c>
      <c r="GE1" t="e">
        <f>#REF!-")$a!%/"</f>
        <v>#REF!</v>
      </c>
      <c r="GF1" t="e">
        <f>#REF!-")$a!%0"</f>
        <v>#REF!</v>
      </c>
      <c r="GG1" t="e">
        <f>#REF!-")$a!%1"</f>
        <v>#REF!</v>
      </c>
      <c r="GH1" t="e">
        <f>#REF!-")$a!%2"</f>
        <v>#REF!</v>
      </c>
      <c r="GI1" t="e">
        <f>#REF!-")$a!%3"</f>
        <v>#REF!</v>
      </c>
      <c r="GJ1" t="e">
        <f>#REF!-")$a!%4"</f>
        <v>#REF!</v>
      </c>
      <c r="GK1" t="e">
        <f>#REF!-")$a!%5"</f>
        <v>#REF!</v>
      </c>
      <c r="GL1" t="e">
        <f>#REF!-")$a!%6"</f>
        <v>#REF!</v>
      </c>
      <c r="GM1" t="e">
        <f>#REF!-")$a!%7"</f>
        <v>#REF!</v>
      </c>
      <c r="GN1" t="e">
        <f>#REF!-")$a!%8"</f>
        <v>#REF!</v>
      </c>
      <c r="GO1" t="e">
        <f>#REF!-")$a!%9"</f>
        <v>#REF!</v>
      </c>
      <c r="GP1" t="e">
        <f>#REF!-")$a!%:"</f>
        <v>#REF!</v>
      </c>
      <c r="GQ1" t="e">
        <f>#REF!-")$a!%;"</f>
        <v>#REF!</v>
      </c>
      <c r="GR1" t="e">
        <f>#REF!-")$a!%&lt;"</f>
        <v>#REF!</v>
      </c>
      <c r="GS1" t="e">
        <f>#REF!-")$a!%="</f>
        <v>#REF!</v>
      </c>
      <c r="GT1" t="e">
        <f>#REF!-")$a!%&gt;"</f>
        <v>#REF!</v>
      </c>
      <c r="GU1" t="e">
        <f>#REF!-")$a!%?"</f>
        <v>#REF!</v>
      </c>
      <c r="GV1" t="e">
        <f>#REF!-")$a!%@"</f>
        <v>#REF!</v>
      </c>
      <c r="GW1" t="e">
        <f>#REF!-")$a!%A"</f>
        <v>#REF!</v>
      </c>
      <c r="GX1" t="e">
        <f>#REF!-")$a!%B"</f>
        <v>#REF!</v>
      </c>
      <c r="GY1" t="e">
        <f>#REF!-")$a!%C"</f>
        <v>#REF!</v>
      </c>
      <c r="GZ1" t="e">
        <f>#REF!-")$a!%D"</f>
        <v>#REF!</v>
      </c>
      <c r="HA1" t="e">
        <f>#REF!-")$a!%E"</f>
        <v>#REF!</v>
      </c>
      <c r="HB1" t="e">
        <f>#REF!-")$a!%F"</f>
        <v>#REF!</v>
      </c>
      <c r="HC1" t="e">
        <f>#REF!-")$a!%G"</f>
        <v>#REF!</v>
      </c>
      <c r="HD1" t="e">
        <f>#REF!-")$a!%H"</f>
        <v>#REF!</v>
      </c>
      <c r="HE1" t="e">
        <f>#REF!-")$a!%I"</f>
        <v>#REF!</v>
      </c>
      <c r="HF1" t="e">
        <f>#REF!-")$a!%J"</f>
        <v>#REF!</v>
      </c>
      <c r="HG1" t="e">
        <f>#REF!-")$a!%K"</f>
        <v>#REF!</v>
      </c>
      <c r="HH1" t="e">
        <f>#REF!-")$a!%L"</f>
        <v>#REF!</v>
      </c>
      <c r="HI1" t="e">
        <f>#REF!-")$a!%M"</f>
        <v>#REF!</v>
      </c>
      <c r="HJ1" t="e">
        <f>#REF!-")$a!%N"</f>
        <v>#REF!</v>
      </c>
      <c r="HK1" t="e">
        <f>#REF!-")$a!%O"</f>
        <v>#REF!</v>
      </c>
      <c r="HL1" t="e">
        <f>#REF!-")$a!%P"</f>
        <v>#REF!</v>
      </c>
      <c r="HM1" t="e">
        <f>#REF!-")$a!%Q"</f>
        <v>#REF!</v>
      </c>
      <c r="HN1" t="e">
        <f>#REF!-")$a!%R"</f>
        <v>#REF!</v>
      </c>
      <c r="HO1" t="e">
        <f>#REF!-")$a!%S"</f>
        <v>#REF!</v>
      </c>
      <c r="HP1" t="e">
        <f>#REF!-")$a!%T"</f>
        <v>#REF!</v>
      </c>
      <c r="HQ1" t="e">
        <f>#REF!-")$a!%U"</f>
        <v>#REF!</v>
      </c>
      <c r="HR1" t="e">
        <f>#REF!-")$a!%V"</f>
        <v>#REF!</v>
      </c>
      <c r="HS1" t="e">
        <f>#REF!-")$a!%W"</f>
        <v>#REF!</v>
      </c>
      <c r="HT1" t="e">
        <f>#REF!-")$a!%X"</f>
        <v>#REF!</v>
      </c>
      <c r="HU1" t="e">
        <f>#REF!-")$a!%Y"</f>
        <v>#REF!</v>
      </c>
      <c r="HV1" t="e">
        <f>#REF!-")$a!%Z"</f>
        <v>#REF!</v>
      </c>
      <c r="HW1" t="e">
        <f>#REF!-")$a!%["</f>
        <v>#REF!</v>
      </c>
      <c r="HX1" t="e">
        <f>#REF!-")$a!%\"</f>
        <v>#REF!</v>
      </c>
      <c r="HY1" t="e">
        <f>#REF!-")$a!%]"</f>
        <v>#REF!</v>
      </c>
      <c r="HZ1" t="e">
        <f>#REF!-")$a!%^"</f>
        <v>#REF!</v>
      </c>
      <c r="IA1" t="e">
        <f>#REF!-")$a!%_"</f>
        <v>#REF!</v>
      </c>
      <c r="IB1" t="e">
        <f>#REF!-")$a!%`"</f>
        <v>#REF!</v>
      </c>
      <c r="IC1" t="e">
        <f>#REF!-")$a!%a"</f>
        <v>#REF!</v>
      </c>
      <c r="ID1" t="e">
        <f>#REF!-")$a!%b"</f>
        <v>#REF!</v>
      </c>
      <c r="IE1" t="e">
        <f>#REF!-")$a!%c"</f>
        <v>#REF!</v>
      </c>
      <c r="IF1" t="e">
        <f>#REF!-")$a!%d"</f>
        <v>#REF!</v>
      </c>
      <c r="IG1" t="e">
        <f>#REF!-")$a!%e"</f>
        <v>#REF!</v>
      </c>
      <c r="IH1" t="e">
        <f>#REF!-")$a!%f"</f>
        <v>#REF!</v>
      </c>
      <c r="II1" t="e">
        <f>#REF!-")$a!%g"</f>
        <v>#REF!</v>
      </c>
      <c r="IJ1" t="e">
        <f>#REF!-")$a!%h"</f>
        <v>#REF!</v>
      </c>
      <c r="IK1" t="e">
        <f>#REF!-")$a!%i"</f>
        <v>#REF!</v>
      </c>
      <c r="IL1" t="e">
        <f>#REF!-")$a!%j"</f>
        <v>#REF!</v>
      </c>
      <c r="IM1" t="e">
        <f>#REF!-")$a!%k"</f>
        <v>#REF!</v>
      </c>
      <c r="IN1" t="e">
        <f>#REF!-")$a!%l"</f>
        <v>#REF!</v>
      </c>
      <c r="IO1" t="e">
        <f>#REF!-")$a!%m"</f>
        <v>#REF!</v>
      </c>
      <c r="IP1" t="e">
        <f>#REF!-")$a!%n"</f>
        <v>#REF!</v>
      </c>
      <c r="IQ1" t="e">
        <f>#REF!-")$a!%o"</f>
        <v>#REF!</v>
      </c>
      <c r="IR1" t="e">
        <f>#REF!-")$a!%p"</f>
        <v>#REF!</v>
      </c>
      <c r="IS1" t="e">
        <f>#REF!-")$a!%q"</f>
        <v>#REF!</v>
      </c>
      <c r="IT1" t="e">
        <f>#REF!-")$a!%r"</f>
        <v>#REF!</v>
      </c>
      <c r="IU1" t="e">
        <f>#REF!-")$a!%s"</f>
        <v>#REF!</v>
      </c>
      <c r="IV1" t="e">
        <f>#REF!-")$a!%t"</f>
        <v>#REF!</v>
      </c>
    </row>
    <row r="2" spans="1:256" x14ac:dyDescent="0.2">
      <c r="A2" t="s">
        <v>1</v>
      </c>
      <c r="F2" t="e">
        <f>#REF!-")$a!%u"</f>
        <v>#REF!</v>
      </c>
      <c r="G2" t="e">
        <f>#REF!*")$a!%v"</f>
        <v>#REF!</v>
      </c>
      <c r="H2" t="e">
        <f>#REF!*")$a!%w"</f>
        <v>#REF!</v>
      </c>
      <c r="I2" t="e">
        <f>#REF!*")$a!%x"</f>
        <v>#REF!</v>
      </c>
      <c r="J2" t="e">
        <f>#REF!*")$a!%y"</f>
        <v>#REF!</v>
      </c>
      <c r="K2" t="e">
        <f>#REF!*")$a!%z"</f>
        <v>#REF!</v>
      </c>
      <c r="L2" t="e">
        <f>#REF!*")$a!%{"</f>
        <v>#REF!</v>
      </c>
      <c r="M2" t="e">
        <f>#REF!*")$a!%|"</f>
        <v>#REF!</v>
      </c>
      <c r="N2" t="e">
        <f>#REF!*")$a!%}"</f>
        <v>#REF!</v>
      </c>
      <c r="O2" t="e">
        <f>#REF!*")$a!%~"</f>
        <v>#REF!</v>
      </c>
      <c r="P2" t="e">
        <f>#REF!*")$a!&amp;#"</f>
        <v>#REF!</v>
      </c>
      <c r="Q2" t="e">
        <f>#REF!*")$a!&amp;$"</f>
        <v>#REF!</v>
      </c>
      <c r="R2" t="e">
        <f>#REF!*")$a!&amp;%"</f>
        <v>#REF!</v>
      </c>
      <c r="S2" t="e">
        <f>#REF!*")$a!&amp;&amp;"</f>
        <v>#REF!</v>
      </c>
      <c r="T2" t="e">
        <f>#REF!*")$a!&amp;'"</f>
        <v>#REF!</v>
      </c>
      <c r="U2" t="e">
        <f>#REF!*")$a!&amp;("</f>
        <v>#REF!</v>
      </c>
      <c r="V2" t="e">
        <f>#REF!*")$a!&amp;)"</f>
        <v>#REF!</v>
      </c>
      <c r="W2" t="e">
        <f>#REF!*")$a!&amp;."</f>
        <v>#REF!</v>
      </c>
      <c r="X2" t="e">
        <f>#REF!*")$a!&amp;/"</f>
        <v>#REF!</v>
      </c>
      <c r="Y2" t="e">
        <f>#REF!*")$a!&amp;0"</f>
        <v>#REF!</v>
      </c>
      <c r="Z2" t="e">
        <f>#REF!*")$a!&amp;1"</f>
        <v>#REF!</v>
      </c>
      <c r="AA2" t="e">
        <f>#REF!*")$a!&amp;2"</f>
        <v>#REF!</v>
      </c>
      <c r="AB2" t="e">
        <f>#REF!*")$a!&amp;3"</f>
        <v>#REF!</v>
      </c>
      <c r="AC2" t="e">
        <f>#REF!*")$a!&amp;4"</f>
        <v>#REF!</v>
      </c>
      <c r="AD2" t="e">
        <f>#REF!*")$a!&amp;5"</f>
        <v>#REF!</v>
      </c>
      <c r="AE2" t="e">
        <f>#REF!*")$a!&amp;6"</f>
        <v>#REF!</v>
      </c>
      <c r="AF2" t="e">
        <f>#REF!*")$a!&amp;7"</f>
        <v>#REF!</v>
      </c>
      <c r="AG2" t="e">
        <f>#REF!*")$a!&amp;8"</f>
        <v>#REF!</v>
      </c>
      <c r="AH2" t="e">
        <f>#REF!*")$a!&amp;9"</f>
        <v>#REF!</v>
      </c>
      <c r="AI2" t="e">
        <f>#REF!*")$a!&amp;:"</f>
        <v>#REF!</v>
      </c>
      <c r="AJ2" t="e">
        <f>#REF!*")$a!&amp;;"</f>
        <v>#REF!</v>
      </c>
      <c r="AK2" t="e">
        <f>#REF!*")$a!&amp;&lt;"</f>
        <v>#REF!</v>
      </c>
      <c r="AL2" t="e">
        <f>#REF!*")$a!&amp;="</f>
        <v>#REF!</v>
      </c>
      <c r="AM2" t="e">
        <f>#REF!*")$a!&amp;&gt;"</f>
        <v>#REF!</v>
      </c>
      <c r="AN2" t="e">
        <f>#REF!*")$a!&amp;?"</f>
        <v>#REF!</v>
      </c>
      <c r="AO2" t="e">
        <f>#REF!*")$a!&amp;@"</f>
        <v>#REF!</v>
      </c>
      <c r="AP2" t="e">
        <f>#REF!*")$a!&amp;A"</f>
        <v>#REF!</v>
      </c>
      <c r="AQ2" t="e">
        <f>#REF!*")$a!&amp;B"</f>
        <v>#REF!</v>
      </c>
      <c r="AR2" t="e">
        <f>#REF!*")$a!&amp;C"</f>
        <v>#REF!</v>
      </c>
      <c r="AS2" t="e">
        <f>#REF!*")$a!&amp;D"</f>
        <v>#REF!</v>
      </c>
      <c r="AT2" t="e">
        <f>#REF!*")$a!&amp;E"</f>
        <v>#REF!</v>
      </c>
      <c r="AU2" t="e">
        <f>#REF!*")$a!&amp;F"</f>
        <v>#REF!</v>
      </c>
      <c r="AV2" t="e">
        <f>#REF!*")$a!&amp;G"</f>
        <v>#REF!</v>
      </c>
      <c r="AW2" t="e">
        <f>#REF!*")$a!&amp;H"</f>
        <v>#REF!</v>
      </c>
      <c r="AX2" t="e">
        <f>#REF!*")$a!&amp;I"</f>
        <v>#REF!</v>
      </c>
      <c r="AY2" t="e">
        <f>#REF!*")$a!&amp;J"</f>
        <v>#REF!</v>
      </c>
      <c r="AZ2" t="e">
        <f>#REF!*")$a!&amp;K"</f>
        <v>#REF!</v>
      </c>
      <c r="BA2" t="e">
        <f>#REF!*")$a!&amp;L"</f>
        <v>#REF!</v>
      </c>
      <c r="BB2" t="e">
        <f>#REF!*")$a!&amp;M"</f>
        <v>#REF!</v>
      </c>
      <c r="BC2" t="e">
        <f>#REF!*")$a!&amp;N"</f>
        <v>#REF!</v>
      </c>
      <c r="BD2" t="e">
        <f>#REF!*")$a!&amp;O"</f>
        <v>#REF!</v>
      </c>
      <c r="BE2" t="e">
        <f>#REF!*")$a!&amp;P"</f>
        <v>#REF!</v>
      </c>
      <c r="BF2" t="e">
        <f>#REF!-")$a!&amp;Q"</f>
        <v>#REF!</v>
      </c>
      <c r="BG2" t="e">
        <f>#REF!-")$a!&amp;R"</f>
        <v>#REF!</v>
      </c>
      <c r="BH2" t="e">
        <f>#REF!-")$a!&amp;S"</f>
        <v>#REF!</v>
      </c>
      <c r="BI2" t="e">
        <f>#REF!-")$a!&amp;T"</f>
        <v>#REF!</v>
      </c>
      <c r="BJ2" t="e">
        <f>#REF!-")$a!&amp;U"</f>
        <v>#REF!</v>
      </c>
      <c r="BK2" t="e">
        <f>#REF!-")$a!&amp;V"</f>
        <v>#REF!</v>
      </c>
      <c r="BL2" t="e">
        <f>#REF!-")$a!&amp;W"</f>
        <v>#REF!</v>
      </c>
      <c r="BM2" t="e">
        <f>#REF!-")$a!&amp;X"</f>
        <v>#REF!</v>
      </c>
      <c r="BN2" t="e">
        <f>#REF!-")$a!&amp;Y"</f>
        <v>#REF!</v>
      </c>
      <c r="BO2" t="e">
        <f>#REF!-")$a!&amp;Z"</f>
        <v>#REF!</v>
      </c>
      <c r="BP2" t="e">
        <f>#REF!-")$a!&amp;["</f>
        <v>#REF!</v>
      </c>
      <c r="BQ2" t="e">
        <f>#REF!-")$a!&amp;\"</f>
        <v>#REF!</v>
      </c>
      <c r="BR2" t="e">
        <f>#REF!-")$a!&amp;]"</f>
        <v>#REF!</v>
      </c>
      <c r="BS2" t="e">
        <f>#REF!-")$a!&amp;^"</f>
        <v>#REF!</v>
      </c>
      <c r="BT2" t="e">
        <f>#REF!-")$a!&amp;_"</f>
        <v>#REF!</v>
      </c>
      <c r="BU2" t="e">
        <f>#REF!-")$a!&amp;`"</f>
        <v>#REF!</v>
      </c>
      <c r="BV2" t="e">
        <f>#REF!-")$a!&amp;a"</f>
        <v>#REF!</v>
      </c>
      <c r="BW2" t="e">
        <f>#REF!-")$a!&amp;b"</f>
        <v>#REF!</v>
      </c>
      <c r="BX2" t="e">
        <f>#REF!-")$a!&amp;c"</f>
        <v>#REF!</v>
      </c>
      <c r="BY2" t="e">
        <f>#REF!-")$a!&amp;d"</f>
        <v>#REF!</v>
      </c>
      <c r="BZ2" t="e">
        <f>#REF!-")$a!&amp;e"</f>
        <v>#REF!</v>
      </c>
      <c r="CA2" t="e">
        <f>#REF!-")$a!&amp;f"</f>
        <v>#REF!</v>
      </c>
      <c r="CB2" t="e">
        <f>#REF!-")$a!&amp;g"</f>
        <v>#REF!</v>
      </c>
      <c r="CC2" t="e">
        <f>#REF!-")$a!&amp;h"</f>
        <v>#REF!</v>
      </c>
      <c r="CD2" t="e">
        <f>#REF!-")$a!&amp;i"</f>
        <v>#REF!</v>
      </c>
      <c r="CE2" t="e">
        <f>#REF!-")$a!&amp;j"</f>
        <v>#REF!</v>
      </c>
      <c r="CF2" t="e">
        <f>#REF!-")$a!&amp;k"</f>
        <v>#REF!</v>
      </c>
      <c r="CG2" t="e">
        <f>#REF!-")$a!&amp;l"</f>
        <v>#REF!</v>
      </c>
      <c r="CH2" t="e">
        <f>#REF!-")$a!&amp;m"</f>
        <v>#REF!</v>
      </c>
      <c r="CI2" t="e">
        <f>#REF!-")$a!&amp;n"</f>
        <v>#REF!</v>
      </c>
      <c r="CJ2" t="e">
        <f>#REF!-")$a!&amp;o"</f>
        <v>#REF!</v>
      </c>
      <c r="CK2" t="e">
        <f>#REF!-")$a!&amp;p"</f>
        <v>#REF!</v>
      </c>
      <c r="CL2" t="e">
        <f>#REF!-")$a!&amp;q"</f>
        <v>#REF!</v>
      </c>
      <c r="CM2" t="e">
        <f>#REF!-")$a!&amp;r"</f>
        <v>#REF!</v>
      </c>
      <c r="CN2" t="e">
        <f>#REF!-")$a!&amp;s"</f>
        <v>#REF!</v>
      </c>
      <c r="CO2" t="e">
        <f>#REF!-")$a!&amp;t"</f>
        <v>#REF!</v>
      </c>
      <c r="CP2" t="e">
        <f>#REF!-")$a!&amp;u"</f>
        <v>#REF!</v>
      </c>
      <c r="CQ2" t="e">
        <f>#REF!-")$a!&amp;v"</f>
        <v>#REF!</v>
      </c>
      <c r="CR2" t="e">
        <f>#REF!-")$a!&amp;w"</f>
        <v>#REF!</v>
      </c>
      <c r="CS2" t="e">
        <f>#REF!-")$a!&amp;x"</f>
        <v>#REF!</v>
      </c>
      <c r="CT2" t="e">
        <f>#REF!-")$a!&amp;y"</f>
        <v>#REF!</v>
      </c>
      <c r="CU2" t="e">
        <f>#REF!-")$a!&amp;z"</f>
        <v>#REF!</v>
      </c>
      <c r="CV2" t="e">
        <f>#REF!-")$a!&amp;{"</f>
        <v>#REF!</v>
      </c>
      <c r="CW2" t="e">
        <f>#REF!-")$a!&amp;|"</f>
        <v>#REF!</v>
      </c>
      <c r="CX2" t="e">
        <f>#REF!-")$a!&amp;}"</f>
        <v>#REF!</v>
      </c>
      <c r="CY2" t="e">
        <f>#REF!-")$a!&amp;~"</f>
        <v>#REF!</v>
      </c>
      <c r="CZ2" t="e">
        <f>#REF!-")$a!'#"</f>
        <v>#REF!</v>
      </c>
      <c r="DA2" t="e">
        <f>#REF!-")$a!'$"</f>
        <v>#REF!</v>
      </c>
      <c r="DB2" t="e">
        <f>#REF!-")$a!'%"</f>
        <v>#REF!</v>
      </c>
      <c r="DC2" t="e">
        <f>#REF!-")$a!'&amp;"</f>
        <v>#REF!</v>
      </c>
      <c r="DD2" t="e">
        <f>#REF!-")$a!''"</f>
        <v>#REF!</v>
      </c>
      <c r="DE2" t="e">
        <f>#REF!-")$a!'("</f>
        <v>#REF!</v>
      </c>
      <c r="DF2" t="e">
        <f>#REF!-")$a!')"</f>
        <v>#REF!</v>
      </c>
      <c r="DG2" t="e">
        <f>#REF!-")$a!'."</f>
        <v>#REF!</v>
      </c>
      <c r="DH2" t="e">
        <f>#REF!-")$a!'/"</f>
        <v>#REF!</v>
      </c>
      <c r="DI2" t="e">
        <f>#REF!-")$a!'0"</f>
        <v>#REF!</v>
      </c>
      <c r="DJ2" t="e">
        <f>#REF!-")$a!'1"</f>
        <v>#REF!</v>
      </c>
      <c r="DK2" t="e">
        <f>#REF!-")$a!'2"</f>
        <v>#REF!</v>
      </c>
      <c r="DL2" t="e">
        <f>#REF!-")$a!'3"</f>
        <v>#REF!</v>
      </c>
      <c r="DM2" t="e">
        <f>#REF!-")$a!'4"</f>
        <v>#REF!</v>
      </c>
      <c r="DN2" t="e">
        <f>#REF!-")$a!'5"</f>
        <v>#REF!</v>
      </c>
      <c r="DO2" t="e">
        <f>#REF!-")$a!'6"</f>
        <v>#REF!</v>
      </c>
      <c r="DP2" t="e">
        <f>#REF!-")$a!'7"</f>
        <v>#REF!</v>
      </c>
      <c r="DQ2" t="e">
        <f>#REF!-")$a!'8"</f>
        <v>#REF!</v>
      </c>
      <c r="DR2" t="e">
        <f>#REF!-")$a!'9"</f>
        <v>#REF!</v>
      </c>
      <c r="DS2" t="e">
        <f>#REF!-")$a!':"</f>
        <v>#REF!</v>
      </c>
      <c r="DT2" t="e">
        <f>#REF!-")$a!';"</f>
        <v>#REF!</v>
      </c>
      <c r="DU2" t="e">
        <f>#REF!-")$a!'&lt;"</f>
        <v>#REF!</v>
      </c>
      <c r="DV2" t="e">
        <f>#REF!-")$a!'="</f>
        <v>#REF!</v>
      </c>
      <c r="DW2" t="e">
        <f>#REF!-")$a!'&gt;"</f>
        <v>#REF!</v>
      </c>
      <c r="DX2" t="e">
        <f>#REF!-")$a!'?"</f>
        <v>#REF!</v>
      </c>
      <c r="DY2" t="e">
        <f>#REF!-")$a!'@"</f>
        <v>#REF!</v>
      </c>
      <c r="DZ2" t="e">
        <f>#REF!-")$a!'A"</f>
        <v>#REF!</v>
      </c>
      <c r="EA2" t="e">
        <f>#REF!-")$a!'B"</f>
        <v>#REF!</v>
      </c>
      <c r="EB2" t="e">
        <f>#REF!-")$a!'C"</f>
        <v>#REF!</v>
      </c>
      <c r="EC2" t="e">
        <f>#REF!-")$a!'D"</f>
        <v>#REF!</v>
      </c>
      <c r="ED2" t="e">
        <f>#REF!-")$a!'E"</f>
        <v>#REF!</v>
      </c>
      <c r="EE2" t="e">
        <f>#REF!-")$a!'F"</f>
        <v>#REF!</v>
      </c>
      <c r="EF2" t="e">
        <f>#REF!-")$a!'G"</f>
        <v>#REF!</v>
      </c>
      <c r="EG2" t="e">
        <f>#REF!-")$a!'H"</f>
        <v>#REF!</v>
      </c>
      <c r="EH2" t="e">
        <f>#REF!-")$a!'I"</f>
        <v>#REF!</v>
      </c>
      <c r="EI2" t="e">
        <f>#REF!-")$a!'J"</f>
        <v>#REF!</v>
      </c>
      <c r="EJ2" t="e">
        <f>#REF!-")$a!'K"</f>
        <v>#REF!</v>
      </c>
      <c r="EK2" t="e">
        <f>#REF!-")$a!'L"</f>
        <v>#REF!</v>
      </c>
      <c r="EL2" t="e">
        <f>#REF!-")$a!'M"</f>
        <v>#REF!</v>
      </c>
      <c r="EM2" t="e">
        <f>#REF!-")$a!'N"</f>
        <v>#REF!</v>
      </c>
      <c r="EN2" t="e">
        <f>#REF!-")$a!'O"</f>
        <v>#REF!</v>
      </c>
      <c r="EO2" t="e">
        <f>#REF!-")$a!'P"</f>
        <v>#REF!</v>
      </c>
      <c r="EP2" t="e">
        <f>#REF!-")$a!'Q"</f>
        <v>#REF!</v>
      </c>
      <c r="EQ2" t="e">
        <f>#REF!-")$a!'R"</f>
        <v>#REF!</v>
      </c>
      <c r="ER2" t="e">
        <f>#REF!-")$a!'S"</f>
        <v>#REF!</v>
      </c>
      <c r="ES2" t="e">
        <f>#REF!-")$a!'T"</f>
        <v>#REF!</v>
      </c>
      <c r="ET2" t="e">
        <f>#REF!-")$a!'U"</f>
        <v>#REF!</v>
      </c>
      <c r="EU2" t="e">
        <f>#REF!-")$a!'V"</f>
        <v>#REF!</v>
      </c>
      <c r="EV2" t="e">
        <f>#REF!-")$a!'W"</f>
        <v>#REF!</v>
      </c>
      <c r="EW2" t="e">
        <f>#REF!-")$a!'X"</f>
        <v>#REF!</v>
      </c>
      <c r="EX2" t="e">
        <f>#REF!-")$a!'Y"</f>
        <v>#REF!</v>
      </c>
      <c r="EY2" t="e">
        <f>#REF!-")$a!'Z"</f>
        <v>#REF!</v>
      </c>
      <c r="EZ2" t="e">
        <f>#REF!-")$a!'["</f>
        <v>#REF!</v>
      </c>
      <c r="FA2" t="e">
        <f>#REF!-")$a!'\"</f>
        <v>#REF!</v>
      </c>
      <c r="FB2" t="e">
        <f>#REF!-")$a!']"</f>
        <v>#REF!</v>
      </c>
      <c r="FC2" t="e">
        <f>#REF!-")$a!'^"</f>
        <v>#REF!</v>
      </c>
      <c r="FD2" t="e">
        <f>#REF!-")$a!'_"</f>
        <v>#REF!</v>
      </c>
      <c r="FE2" t="e">
        <f>#REF!-")$a!'`"</f>
        <v>#REF!</v>
      </c>
      <c r="FF2" t="e">
        <f>#REF!-")$a!'a"</f>
        <v>#REF!</v>
      </c>
      <c r="FG2" t="e">
        <f>#REF!-")$a!'b"</f>
        <v>#REF!</v>
      </c>
      <c r="FH2" t="e">
        <f>#REF!-")$a!'c"</f>
        <v>#REF!</v>
      </c>
      <c r="FI2" t="e">
        <f>#REF!-")$a!'d"</f>
        <v>#REF!</v>
      </c>
      <c r="FJ2" t="e">
        <f>#REF!-")$a!'e"</f>
        <v>#REF!</v>
      </c>
      <c r="FK2" t="e">
        <f>#REF!-")$a!'f"</f>
        <v>#REF!</v>
      </c>
      <c r="FL2" t="e">
        <f>#REF!-")$a!'g"</f>
        <v>#REF!</v>
      </c>
      <c r="FM2" t="e">
        <f>#REF!-")$a!'h"</f>
        <v>#REF!</v>
      </c>
      <c r="FN2" t="e">
        <f>#REF!-")$a!'i"</f>
        <v>#REF!</v>
      </c>
      <c r="FO2" t="e">
        <f>#REF!-")$a!'j"</f>
        <v>#REF!</v>
      </c>
      <c r="FP2" t="e">
        <f>#REF!-")$a!'k"</f>
        <v>#REF!</v>
      </c>
      <c r="FQ2" t="e">
        <f>#REF!-")$a!'l"</f>
        <v>#REF!</v>
      </c>
      <c r="FR2" t="e">
        <f>#REF!-")$a!'m"</f>
        <v>#REF!</v>
      </c>
      <c r="FS2" t="e">
        <f>#REF!-")$a!'n"</f>
        <v>#REF!</v>
      </c>
      <c r="FT2" t="e">
        <f>#REF!-")$a!'o"</f>
        <v>#REF!</v>
      </c>
      <c r="FU2" t="e">
        <f>#REF!-")$a!'p"</f>
        <v>#REF!</v>
      </c>
      <c r="FV2" t="e">
        <f>#REF!-")$a!'q"</f>
        <v>#REF!</v>
      </c>
      <c r="FW2" t="e">
        <f>#REF!-")$a!'r"</f>
        <v>#REF!</v>
      </c>
      <c r="FX2" t="e">
        <f>#REF!-")$a!'s"</f>
        <v>#REF!</v>
      </c>
      <c r="FY2" t="e">
        <f>#REF!-")$a!'t"</f>
        <v>#REF!</v>
      </c>
      <c r="FZ2" t="e">
        <f>#REF!-")$a!'u"</f>
        <v>#REF!</v>
      </c>
      <c r="GA2" t="e">
        <f>#REF!-")$a!'v"</f>
        <v>#REF!</v>
      </c>
      <c r="GB2" t="e">
        <f>#REF!-")$a!'w"</f>
        <v>#REF!</v>
      </c>
      <c r="GC2" t="e">
        <f>#REF!-")$a!'x"</f>
        <v>#REF!</v>
      </c>
      <c r="GD2" t="e">
        <f>#REF!-")$a!'y"</f>
        <v>#REF!</v>
      </c>
      <c r="GE2" t="e">
        <f>#REF!-")$a!'z"</f>
        <v>#REF!</v>
      </c>
      <c r="GF2" t="e">
        <f>#REF!-")$a!'{"</f>
        <v>#REF!</v>
      </c>
      <c r="GG2" t="e">
        <f>#REF!-")$a!'|"</f>
        <v>#REF!</v>
      </c>
      <c r="GH2" t="e">
        <f>#REF!-")$a!'}"</f>
        <v>#REF!</v>
      </c>
      <c r="GI2" t="e">
        <f>#REF!-")$a!'~"</f>
        <v>#REF!</v>
      </c>
      <c r="GJ2" t="e">
        <f>#REF!-")$a!(#"</f>
        <v>#REF!</v>
      </c>
      <c r="GK2" t="e">
        <f>#REF!-")$a!($"</f>
        <v>#REF!</v>
      </c>
      <c r="GL2" t="e">
        <f>#REF!-")$a!(%"</f>
        <v>#REF!</v>
      </c>
      <c r="GM2" t="e">
        <f>#REF!-")$a!(&amp;"</f>
        <v>#REF!</v>
      </c>
      <c r="GN2" t="e">
        <f>#REF!-")$a!('"</f>
        <v>#REF!</v>
      </c>
      <c r="GO2" t="e">
        <f>#REF!-")$a!(("</f>
        <v>#REF!</v>
      </c>
      <c r="GP2" t="e">
        <f>#REF!-")$a!()"</f>
        <v>#REF!</v>
      </c>
      <c r="GQ2" t="e">
        <f>#REF!-")$a!(."</f>
        <v>#REF!</v>
      </c>
      <c r="GR2" t="e">
        <f>#REF!-")$a!(/"</f>
        <v>#REF!</v>
      </c>
      <c r="GS2" t="e">
        <f>#REF!-")$a!(0"</f>
        <v>#REF!</v>
      </c>
      <c r="GT2" t="e">
        <f>#REF!-")$a!(1"</f>
        <v>#REF!</v>
      </c>
      <c r="GU2" t="e">
        <f>#REF!-")$a!(2"</f>
        <v>#REF!</v>
      </c>
      <c r="GV2" t="e">
        <f>#REF!-")$a!(3"</f>
        <v>#REF!</v>
      </c>
      <c r="GW2" t="e">
        <f>#REF!-")$a!(4"</f>
        <v>#REF!</v>
      </c>
      <c r="GX2" t="e">
        <f>#REF!-")$a!(5"</f>
        <v>#REF!</v>
      </c>
      <c r="GY2" t="e">
        <f>#REF!-")$a!(6"</f>
        <v>#REF!</v>
      </c>
      <c r="GZ2" t="e">
        <f>#REF!-")$a!(7"</f>
        <v>#REF!</v>
      </c>
      <c r="HA2" t="e">
        <f>#REF!-")$a!(8"</f>
        <v>#REF!</v>
      </c>
      <c r="HB2" t="e">
        <f>#REF!-")$a!(9"</f>
        <v>#REF!</v>
      </c>
      <c r="HC2" t="e">
        <f>#REF!-")$a!(:"</f>
        <v>#REF!</v>
      </c>
      <c r="HD2" t="e">
        <f>#REF!-")$a!(;"</f>
        <v>#REF!</v>
      </c>
      <c r="HE2" t="e">
        <f>#REF!-")$a!(&lt;"</f>
        <v>#REF!</v>
      </c>
      <c r="HF2" t="e">
        <f>#REF!-")$a!(="</f>
        <v>#REF!</v>
      </c>
      <c r="HG2" t="e">
        <f>#REF!-")$a!(&gt;"</f>
        <v>#REF!</v>
      </c>
      <c r="HH2" t="e">
        <f>#REF!-")$a!(?"</f>
        <v>#REF!</v>
      </c>
      <c r="HI2" t="e">
        <f>#REF!-")$a!(@"</f>
        <v>#REF!</v>
      </c>
      <c r="HJ2" t="e">
        <f>#REF!-")$a!(A"</f>
        <v>#REF!</v>
      </c>
      <c r="HK2" t="e">
        <f>#REF!-")$a!(B"</f>
        <v>#REF!</v>
      </c>
      <c r="HL2" t="e">
        <f>#REF!-")$a!(C"</f>
        <v>#REF!</v>
      </c>
      <c r="HM2" t="e">
        <f>#REF!-")$a!(D"</f>
        <v>#REF!</v>
      </c>
      <c r="HN2" t="e">
        <f>#REF!-")$a!(E"</f>
        <v>#REF!</v>
      </c>
      <c r="HO2" t="e">
        <f>#REF!-")$a!(F"</f>
        <v>#REF!</v>
      </c>
      <c r="HP2" t="e">
        <f>#REF!-")$a!(G"</f>
        <v>#REF!</v>
      </c>
      <c r="HQ2" t="e">
        <f>#REF!-")$a!(H"</f>
        <v>#REF!</v>
      </c>
      <c r="HR2" t="e">
        <f>#REF!-")$a!(I"</f>
        <v>#REF!</v>
      </c>
      <c r="HS2" t="e">
        <f>#REF!-")$a!(J"</f>
        <v>#REF!</v>
      </c>
      <c r="HT2" t="e">
        <f>#REF!-")$a!(K"</f>
        <v>#REF!</v>
      </c>
      <c r="HU2" t="e">
        <f>#REF!-")$a!(L"</f>
        <v>#REF!</v>
      </c>
      <c r="HV2" t="e">
        <f>#REF!-")$a!(M"</f>
        <v>#REF!</v>
      </c>
      <c r="HW2" t="e">
        <f>#REF!-")$a!(N"</f>
        <v>#REF!</v>
      </c>
      <c r="HX2" t="e">
        <f>#REF!-")$a!(O"</f>
        <v>#REF!</v>
      </c>
      <c r="HY2" t="e">
        <f>#REF!-")$a!(P"</f>
        <v>#REF!</v>
      </c>
      <c r="HZ2" t="e">
        <f>#REF!-")$a!(Q"</f>
        <v>#REF!</v>
      </c>
      <c r="IA2" t="e">
        <f>#REF!-")$a!(R"</f>
        <v>#REF!</v>
      </c>
      <c r="IB2" t="e">
        <f>#REF!-")$a!(S"</f>
        <v>#REF!</v>
      </c>
      <c r="IC2" t="e">
        <f>#REF!-")$a!(T"</f>
        <v>#REF!</v>
      </c>
      <c r="ID2" t="e">
        <f>#REF!-")$a!(U"</f>
        <v>#REF!</v>
      </c>
      <c r="IE2" t="e">
        <f>#REF!-")$a!(V"</f>
        <v>#REF!</v>
      </c>
      <c r="IF2" t="e">
        <f>#REF!-")$a!(W"</f>
        <v>#REF!</v>
      </c>
      <c r="IG2" t="e">
        <f>#REF!-")$a!(X"</f>
        <v>#REF!</v>
      </c>
      <c r="IH2" t="e">
        <f>#REF!-")$a!(Y"</f>
        <v>#REF!</v>
      </c>
      <c r="II2" t="e">
        <f>#REF!-")$a!(Z"</f>
        <v>#REF!</v>
      </c>
      <c r="IJ2" t="e">
        <f>#REF!-")$a!(["</f>
        <v>#REF!</v>
      </c>
      <c r="IK2" t="e">
        <f>#REF!-")$a!(\"</f>
        <v>#REF!</v>
      </c>
      <c r="IL2" t="e">
        <f>#REF!-")$a!(]"</f>
        <v>#REF!</v>
      </c>
      <c r="IM2" t="e">
        <f>#REF!-")$a!(^"</f>
        <v>#REF!</v>
      </c>
      <c r="IN2" t="e">
        <f>#REF!-")$a!(_"</f>
        <v>#REF!</v>
      </c>
      <c r="IO2" t="e">
        <f>#REF!-")$a!(`"</f>
        <v>#REF!</v>
      </c>
      <c r="IP2" t="e">
        <f>#REF!-")$a!(a"</f>
        <v>#REF!</v>
      </c>
      <c r="IQ2" t="e">
        <f>#REF!-")$a!(b"</f>
        <v>#REF!</v>
      </c>
      <c r="IR2" t="e">
        <f>#REF!-")$a!(c"</f>
        <v>#REF!</v>
      </c>
      <c r="IS2" t="e">
        <f>#REF!-")$a!(d"</f>
        <v>#REF!</v>
      </c>
      <c r="IT2" t="e">
        <f>#REF!-")$a!(e"</f>
        <v>#REF!</v>
      </c>
      <c r="IU2" t="e">
        <f>#REF!-")$a!(f"</f>
        <v>#REF!</v>
      </c>
      <c r="IV2" t="e">
        <f>#REF!-")$a!(g"</f>
        <v>#REF!</v>
      </c>
    </row>
    <row r="3" spans="1:256" x14ac:dyDescent="0.2">
      <c r="A3" t="s">
        <v>2</v>
      </c>
      <c r="F3" t="e">
        <f>#REF!-")$a!(h"</f>
        <v>#REF!</v>
      </c>
      <c r="G3" t="e">
        <f>#REF!-")$a!(i"</f>
        <v>#REF!</v>
      </c>
      <c r="H3" t="e">
        <f>#REF!*")$a!(j"</f>
        <v>#REF!</v>
      </c>
      <c r="I3" t="e">
        <f>#REF!*")$a!(k"</f>
        <v>#REF!</v>
      </c>
      <c r="J3" t="e">
        <f>#REF!*")$a!(l"</f>
        <v>#REF!</v>
      </c>
      <c r="K3" t="e">
        <f>#REF!*")$a!(m"</f>
        <v>#REF!</v>
      </c>
      <c r="L3" t="e">
        <f>#REF!*")$a!(n"</f>
        <v>#REF!</v>
      </c>
      <c r="M3" t="e">
        <f>#REF!*")$a!(o"</f>
        <v>#REF!</v>
      </c>
      <c r="N3" t="e">
        <f>#REF!*")$a!(p"</f>
        <v>#REF!</v>
      </c>
      <c r="O3" t="e">
        <f>#REF!*")$a!(q"</f>
        <v>#REF!</v>
      </c>
      <c r="P3" t="e">
        <f>#REF!*")$a!(r"</f>
        <v>#REF!</v>
      </c>
      <c r="Q3" t="e">
        <f>#REF!*")$a!(s"</f>
        <v>#REF!</v>
      </c>
      <c r="R3" t="e">
        <f>#REF!*")$a!(t"</f>
        <v>#REF!</v>
      </c>
      <c r="S3" t="e">
        <f>#REF!*")$a!(u"</f>
        <v>#REF!</v>
      </c>
      <c r="T3" t="e">
        <f>#REF!*")$a!(v"</f>
        <v>#REF!</v>
      </c>
      <c r="U3" t="e">
        <f>#REF!*")$a!(w"</f>
        <v>#REF!</v>
      </c>
      <c r="V3" t="e">
        <f>#REF!*")$a!(x"</f>
        <v>#REF!</v>
      </c>
      <c r="W3" t="e">
        <f>#REF!*")$a!(y"</f>
        <v>#REF!</v>
      </c>
      <c r="X3" t="e">
        <f>#REF!*")$a!(z"</f>
        <v>#REF!</v>
      </c>
      <c r="Y3" t="e">
        <f>#REF!*")$a!({"</f>
        <v>#REF!</v>
      </c>
      <c r="Z3" t="e">
        <f>#REF!*")$a!(|"</f>
        <v>#REF!</v>
      </c>
      <c r="AA3" t="e">
        <f>#REF!*")$a!(}"</f>
        <v>#REF!</v>
      </c>
      <c r="AB3" t="e">
        <f>#REF!*")$a!(~"</f>
        <v>#REF!</v>
      </c>
      <c r="AC3" t="e">
        <f>#REF!*")$a!)#"</f>
        <v>#REF!</v>
      </c>
      <c r="AD3" t="e">
        <f>#REF!*")$a!)$"</f>
        <v>#REF!</v>
      </c>
      <c r="AE3" t="e">
        <f>#REF!*")$a!)%"</f>
        <v>#REF!</v>
      </c>
      <c r="AF3" t="e">
        <f>#REF!*")$a!)&amp;"</f>
        <v>#REF!</v>
      </c>
      <c r="AG3" t="e">
        <f>#REF!*")$a!)'"</f>
        <v>#REF!</v>
      </c>
      <c r="AH3" t="e">
        <f>#REF!*")$a!)("</f>
        <v>#REF!</v>
      </c>
      <c r="AI3" t="e">
        <f>#REF!*")$a!))"</f>
        <v>#REF!</v>
      </c>
      <c r="AJ3" t="e">
        <f>#REF!*")$a!)."</f>
        <v>#REF!</v>
      </c>
      <c r="AK3" t="e">
        <f>#REF!*")$a!)/"</f>
        <v>#REF!</v>
      </c>
      <c r="AL3" t="e">
        <f>#REF!*")$a!)0"</f>
        <v>#REF!</v>
      </c>
      <c r="AM3" t="e">
        <f>#REF!*")$a!)1"</f>
        <v>#REF!</v>
      </c>
      <c r="AN3" t="e">
        <f>#REF!*")$a!)2"</f>
        <v>#REF!</v>
      </c>
      <c r="AO3" t="e">
        <f>#REF!*")$a!)3"</f>
        <v>#REF!</v>
      </c>
      <c r="AP3" t="e">
        <f>#REF!*")$a!)4"</f>
        <v>#REF!</v>
      </c>
      <c r="AQ3" t="e">
        <f>#REF!*")$a!)5"</f>
        <v>#REF!</v>
      </c>
      <c r="AR3" t="e">
        <f>#REF!*")$a!)6"</f>
        <v>#REF!</v>
      </c>
      <c r="AS3" t="e">
        <f>#REF!*")$a!)7"</f>
        <v>#REF!</v>
      </c>
      <c r="AT3" t="e">
        <f>#REF!*")$a!)8"</f>
        <v>#REF!</v>
      </c>
      <c r="AU3" t="e">
        <f>#REF!*")$a!)9"</f>
        <v>#REF!</v>
      </c>
      <c r="AV3" t="e">
        <f>#REF!*")$a!):"</f>
        <v>#REF!</v>
      </c>
      <c r="AW3" t="e">
        <f>#REF!*")$a!);"</f>
        <v>#REF!</v>
      </c>
      <c r="AX3" t="e">
        <f>#REF!*")$a!)&lt;"</f>
        <v>#REF!</v>
      </c>
      <c r="AY3" t="e">
        <f>#REF!*")$a!)="</f>
        <v>#REF!</v>
      </c>
      <c r="AZ3" t="e">
        <f>#REF!*")$a!)&gt;"</f>
        <v>#REF!</v>
      </c>
      <c r="BA3" t="e">
        <f>#REF!*")$a!)?"</f>
        <v>#REF!</v>
      </c>
      <c r="BB3" t="e">
        <f>#REF!*")$a!)@"</f>
        <v>#REF!</v>
      </c>
      <c r="BC3" t="e">
        <f>#REF!*")$a!)A"</f>
        <v>#REF!</v>
      </c>
      <c r="BD3" t="e">
        <f>#REF!*")$a!)B"</f>
        <v>#REF!</v>
      </c>
      <c r="BE3" t="e">
        <f>#REF!*")$a!)C"</f>
        <v>#REF!</v>
      </c>
      <c r="BF3" t="e">
        <f>#REF!*")$a!)D"</f>
        <v>#REF!</v>
      </c>
      <c r="BG3" t="e">
        <f>#REF!-")$a!)E"</f>
        <v>#REF!</v>
      </c>
      <c r="BH3" t="e">
        <f>#REF!-")$a!)F"</f>
        <v>#REF!</v>
      </c>
      <c r="BI3" t="e">
        <f>#REF!-")$a!)G"</f>
        <v>#REF!</v>
      </c>
      <c r="BJ3" t="e">
        <f>#REF!-")$a!)H"</f>
        <v>#REF!</v>
      </c>
      <c r="BK3" t="e">
        <f>#REF!-")$a!)I"</f>
        <v>#REF!</v>
      </c>
      <c r="BL3" t="e">
        <f>#REF!-")$a!)J"</f>
        <v>#REF!</v>
      </c>
      <c r="BM3" t="e">
        <f>#REF!-")$a!)K"</f>
        <v>#REF!</v>
      </c>
      <c r="BN3" t="e">
        <f>#REF!-")$a!)L"</f>
        <v>#REF!</v>
      </c>
      <c r="BO3" t="e">
        <f>#REF!-")$a!)M"</f>
        <v>#REF!</v>
      </c>
      <c r="BP3" t="e">
        <f>#REF!-")$a!)N"</f>
        <v>#REF!</v>
      </c>
      <c r="BQ3" t="e">
        <f>#REF!-")$a!)O"</f>
        <v>#REF!</v>
      </c>
      <c r="BR3" t="e">
        <f>#REF!-")$a!)P"</f>
        <v>#REF!</v>
      </c>
      <c r="BS3" t="e">
        <f>#REF!-")$a!)Q"</f>
        <v>#REF!</v>
      </c>
      <c r="BT3" t="e">
        <f>#REF!-")$a!)R"</f>
        <v>#REF!</v>
      </c>
      <c r="BU3" t="e">
        <f>#REF!-")$a!)S"</f>
        <v>#REF!</v>
      </c>
      <c r="BV3" t="e">
        <f>#REF!-")$a!)T"</f>
        <v>#REF!</v>
      </c>
      <c r="BW3" t="e">
        <f>#REF!-")$a!)U"</f>
        <v>#REF!</v>
      </c>
      <c r="BX3" t="e">
        <f>#REF!-")$a!)V"</f>
        <v>#REF!</v>
      </c>
      <c r="BY3" t="e">
        <f>#REF!-")$a!)W"</f>
        <v>#REF!</v>
      </c>
      <c r="BZ3" t="e">
        <f>#REF!-")$a!)X"</f>
        <v>#REF!</v>
      </c>
      <c r="CA3" t="e">
        <f>#REF!-")$a!)Y"</f>
        <v>#REF!</v>
      </c>
      <c r="CB3" t="e">
        <f>#REF!-")$a!)Z"</f>
        <v>#REF!</v>
      </c>
      <c r="CC3" t="e">
        <f>#REF!-")$a!)["</f>
        <v>#REF!</v>
      </c>
      <c r="CD3" t="e">
        <f>#REF!-")$a!)\"</f>
        <v>#REF!</v>
      </c>
      <c r="CE3" t="e">
        <f>#REF!-")$a!)]"</f>
        <v>#REF!</v>
      </c>
      <c r="CF3" t="e">
        <f>#REF!-")$a!)^"</f>
        <v>#REF!</v>
      </c>
      <c r="CG3" t="e">
        <f>#REF!-")$a!)_"</f>
        <v>#REF!</v>
      </c>
      <c r="CH3" t="e">
        <f>#REF!-")$a!)`"</f>
        <v>#REF!</v>
      </c>
      <c r="CI3" t="e">
        <f>#REF!-")$a!)a"</f>
        <v>#REF!</v>
      </c>
      <c r="CJ3" t="e">
        <f>#REF!-")$a!)b"</f>
        <v>#REF!</v>
      </c>
      <c r="CK3" t="e">
        <f>#REF!-")$a!)c"</f>
        <v>#REF!</v>
      </c>
      <c r="CL3" t="e">
        <f>#REF!-")$a!)d"</f>
        <v>#REF!</v>
      </c>
      <c r="CM3" t="e">
        <f>#REF!-")$a!)e"</f>
        <v>#REF!</v>
      </c>
      <c r="CN3" t="e">
        <f>#REF!-")$a!)f"</f>
        <v>#REF!</v>
      </c>
      <c r="CO3" t="e">
        <f>#REF!-")$a!)g"</f>
        <v>#REF!</v>
      </c>
      <c r="CP3" t="e">
        <f>#REF!-")$a!)h"</f>
        <v>#REF!</v>
      </c>
      <c r="CQ3" t="e">
        <f>#REF!-")$a!)i"</f>
        <v>#REF!</v>
      </c>
      <c r="CR3" t="e">
        <f>#REF!-")$a!)j"</f>
        <v>#REF!</v>
      </c>
      <c r="CS3" t="e">
        <f>#REF!-")$a!)k"</f>
        <v>#REF!</v>
      </c>
      <c r="CT3" t="e">
        <f>#REF!-")$a!)l"</f>
        <v>#REF!</v>
      </c>
      <c r="CU3" t="e">
        <f>#REF!-")$a!)m"</f>
        <v>#REF!</v>
      </c>
      <c r="CV3" t="e">
        <f>#REF!-")$a!)n"</f>
        <v>#REF!</v>
      </c>
      <c r="CW3" t="e">
        <f>#REF!-")$a!)o"</f>
        <v>#REF!</v>
      </c>
      <c r="CX3" t="e">
        <f>#REF!-")$a!)p"</f>
        <v>#REF!</v>
      </c>
      <c r="CY3" t="e">
        <f>#REF!-")$a!)q"</f>
        <v>#REF!</v>
      </c>
      <c r="CZ3" t="e">
        <f>#REF!-")$a!)r"</f>
        <v>#REF!</v>
      </c>
      <c r="DA3" t="e">
        <f>#REF!-")$a!)s"</f>
        <v>#REF!</v>
      </c>
      <c r="DB3" t="e">
        <f>#REF!-")$a!)t"</f>
        <v>#REF!</v>
      </c>
      <c r="DC3" t="e">
        <f>#REF!-")$a!)u"</f>
        <v>#REF!</v>
      </c>
      <c r="DD3" t="e">
        <f>#REF!-")$a!)v"</f>
        <v>#REF!</v>
      </c>
      <c r="DE3" t="e">
        <f>#REF!-")$a!)w"</f>
        <v>#REF!</v>
      </c>
      <c r="DF3" t="e">
        <f>#REF!-")$a!)x"</f>
        <v>#REF!</v>
      </c>
      <c r="DG3" t="e">
        <f>#REF!-")$a!)y"</f>
        <v>#REF!</v>
      </c>
      <c r="DH3" t="e">
        <f>#REF!-")$a!)z"</f>
        <v>#REF!</v>
      </c>
      <c r="DI3" t="e">
        <f>#REF!-")$a!){"</f>
        <v>#REF!</v>
      </c>
      <c r="DJ3" t="e">
        <f>#REF!-")$a!)|"</f>
        <v>#REF!</v>
      </c>
      <c r="DK3" t="e">
        <f>#REF!-")$a!)}"</f>
        <v>#REF!</v>
      </c>
      <c r="DL3" t="e">
        <f>#REF!-")$a!)~"</f>
        <v>#REF!</v>
      </c>
      <c r="DM3" t="e">
        <f>#REF!-")$a!.#"</f>
        <v>#REF!</v>
      </c>
      <c r="DN3" t="e">
        <f>#REF!-")$a!.$"</f>
        <v>#REF!</v>
      </c>
      <c r="DO3" t="e">
        <f>#REF!-")$a!.%"</f>
        <v>#REF!</v>
      </c>
      <c r="DP3" t="e">
        <f>#REF!-")$a!.&amp;"</f>
        <v>#REF!</v>
      </c>
      <c r="DQ3" t="e">
        <f>#REF!-")$a!.'"</f>
        <v>#REF!</v>
      </c>
      <c r="DR3" t="e">
        <f>#REF!-")$a!.("</f>
        <v>#REF!</v>
      </c>
      <c r="DS3" t="e">
        <f>#REF!-")$a!.)"</f>
        <v>#REF!</v>
      </c>
      <c r="DT3" t="e">
        <f>#REF!-")$a!.."</f>
        <v>#REF!</v>
      </c>
      <c r="DU3" t="e">
        <f>#REF!-")$a!./"</f>
        <v>#REF!</v>
      </c>
      <c r="DV3" t="e">
        <f>#REF!-")$a!.0"</f>
        <v>#REF!</v>
      </c>
      <c r="DW3" t="e">
        <f>#REF!-")$a!.1"</f>
        <v>#REF!</v>
      </c>
      <c r="DX3" t="e">
        <f>#REF!-")$a!.2"</f>
        <v>#REF!</v>
      </c>
      <c r="DY3" t="e">
        <f>#REF!-")$a!.3"</f>
        <v>#REF!</v>
      </c>
      <c r="DZ3" t="e">
        <f>#REF!-")$a!.4"</f>
        <v>#REF!</v>
      </c>
      <c r="EA3" t="e">
        <f>#REF!-")$a!.5"</f>
        <v>#REF!</v>
      </c>
      <c r="EB3" t="e">
        <f>#REF!-")$a!.6"</f>
        <v>#REF!</v>
      </c>
      <c r="EC3" t="e">
        <f>#REF!-")$a!.7"</f>
        <v>#REF!</v>
      </c>
      <c r="ED3" t="e">
        <f>#REF!-")$a!.8"</f>
        <v>#REF!</v>
      </c>
      <c r="EE3" t="e">
        <f>#REF!-")$a!.9"</f>
        <v>#REF!</v>
      </c>
      <c r="EF3" t="e">
        <f>#REF!-")$a!.:"</f>
        <v>#REF!</v>
      </c>
      <c r="EG3" t="e">
        <f>#REF!-")$a!.;"</f>
        <v>#REF!</v>
      </c>
      <c r="EH3" t="e">
        <f>#REF!-")$a!.&lt;"</f>
        <v>#REF!</v>
      </c>
      <c r="EI3" t="e">
        <f>#REF!-")$a!.="</f>
        <v>#REF!</v>
      </c>
      <c r="EJ3" t="e">
        <f>#REF!-")$a!.&gt;"</f>
        <v>#REF!</v>
      </c>
      <c r="EK3" t="e">
        <f>#REF!-")$a!.?"</f>
        <v>#REF!</v>
      </c>
      <c r="EL3" t="e">
        <f>#REF!-")$a!.@"</f>
        <v>#REF!</v>
      </c>
      <c r="EM3" t="e">
        <f>#REF!-")$a!.A"</f>
        <v>#REF!</v>
      </c>
      <c r="EN3" t="e">
        <f>#REF!-")$a!.B"</f>
        <v>#REF!</v>
      </c>
      <c r="EO3" t="e">
        <f>#REF!-")$a!.C"</f>
        <v>#REF!</v>
      </c>
      <c r="EP3" t="e">
        <f>#REF!-")$a!.D"</f>
        <v>#REF!</v>
      </c>
      <c r="EQ3" t="e">
        <f>#REF!-")$a!.E"</f>
        <v>#REF!</v>
      </c>
      <c r="ER3" t="e">
        <f>#REF!-")$a!.F"</f>
        <v>#REF!</v>
      </c>
      <c r="ES3" t="e">
        <f>#REF!-")$a!.G"</f>
        <v>#REF!</v>
      </c>
      <c r="ET3" t="e">
        <f>#REF!-")$a!.H"</f>
        <v>#REF!</v>
      </c>
      <c r="EU3" t="e">
        <f>#REF!-")$a!.I"</f>
        <v>#REF!</v>
      </c>
      <c r="EV3" t="e">
        <f>#REF!-")$a!.J"</f>
        <v>#REF!</v>
      </c>
      <c r="EW3" t="e">
        <f>#REF!-")$a!.K"</f>
        <v>#REF!</v>
      </c>
      <c r="EX3" t="e">
        <f>#REF!-")$a!.L"</f>
        <v>#REF!</v>
      </c>
      <c r="EY3" t="e">
        <f>#REF!-")$a!.M"</f>
        <v>#REF!</v>
      </c>
      <c r="EZ3" t="e">
        <f>#REF!-")$a!.N"</f>
        <v>#REF!</v>
      </c>
      <c r="FA3" t="e">
        <f>#REF!-")$a!.O"</f>
        <v>#REF!</v>
      </c>
      <c r="FB3" t="e">
        <f>#REF!-")$a!.P"</f>
        <v>#REF!</v>
      </c>
      <c r="FC3" t="e">
        <f>#REF!-")$a!.Q"</f>
        <v>#REF!</v>
      </c>
      <c r="FD3" t="e">
        <f>#REF!-")$a!.R"</f>
        <v>#REF!</v>
      </c>
      <c r="FE3" t="e">
        <f>#REF!-")$a!.S"</f>
        <v>#REF!</v>
      </c>
      <c r="FF3" t="e">
        <f>#REF!-")$a!.T"</f>
        <v>#REF!</v>
      </c>
      <c r="FG3" t="e">
        <f>#REF!-")$a!.U"</f>
        <v>#REF!</v>
      </c>
      <c r="FH3" t="e">
        <f>#REF!-")$a!.V"</f>
        <v>#REF!</v>
      </c>
      <c r="FI3" t="e">
        <f>#REF!-")$a!.W"</f>
        <v>#REF!</v>
      </c>
      <c r="FJ3" t="e">
        <f>#REF!-")$a!.X"</f>
        <v>#REF!</v>
      </c>
      <c r="FK3" t="e">
        <f>#REF!-")$a!.Y"</f>
        <v>#REF!</v>
      </c>
      <c r="FL3" t="e">
        <f>#REF!-")$a!.Z"</f>
        <v>#REF!</v>
      </c>
      <c r="FM3" t="e">
        <f>#REF!-")$a!.["</f>
        <v>#REF!</v>
      </c>
      <c r="FN3" t="e">
        <f>#REF!-")$a!.\"</f>
        <v>#REF!</v>
      </c>
      <c r="FO3" t="e">
        <f>#REF!-")$a!.]"</f>
        <v>#REF!</v>
      </c>
      <c r="FP3" t="e">
        <f>#REF!-")$a!.^"</f>
        <v>#REF!</v>
      </c>
      <c r="FQ3" t="e">
        <f>#REF!-")$a!._"</f>
        <v>#REF!</v>
      </c>
      <c r="FR3" t="e">
        <f>#REF!-")$a!.`"</f>
        <v>#REF!</v>
      </c>
      <c r="FS3" t="e">
        <f>#REF!-")$a!.a"</f>
        <v>#REF!</v>
      </c>
      <c r="FT3" t="e">
        <f>#REF!-")$a!.b"</f>
        <v>#REF!</v>
      </c>
      <c r="FU3" t="e">
        <f>#REF!-")$a!.c"</f>
        <v>#REF!</v>
      </c>
      <c r="FV3" t="e">
        <f>#REF!-")$a!.d"</f>
        <v>#REF!</v>
      </c>
      <c r="FW3" t="e">
        <f>#REF!-")$a!.e"</f>
        <v>#REF!</v>
      </c>
      <c r="FX3" t="e">
        <f>#REF!-")$a!.f"</f>
        <v>#REF!</v>
      </c>
      <c r="FY3" t="e">
        <f>#REF!-")$a!.g"</f>
        <v>#REF!</v>
      </c>
      <c r="FZ3" t="e">
        <f>#REF!-")$a!.h"</f>
        <v>#REF!</v>
      </c>
      <c r="GA3" t="e">
        <f>#REF!-")$a!.i"</f>
        <v>#REF!</v>
      </c>
      <c r="GB3" t="e">
        <f>#REF!-")$a!.j"</f>
        <v>#REF!</v>
      </c>
      <c r="GC3" t="e">
        <f>#REF!-")$a!.k"</f>
        <v>#REF!</v>
      </c>
      <c r="GD3" t="e">
        <f>#REF!-")$a!.l"</f>
        <v>#REF!</v>
      </c>
      <c r="GE3" t="e">
        <f>#REF!-")$a!.m"</f>
        <v>#REF!</v>
      </c>
      <c r="GF3" t="e">
        <f>#REF!-")$a!.n"</f>
        <v>#REF!</v>
      </c>
      <c r="GG3" t="e">
        <f>#REF!-")$a!.o"</f>
        <v>#REF!</v>
      </c>
      <c r="GH3" t="e">
        <f>#REF!-")$a!.p"</f>
        <v>#REF!</v>
      </c>
      <c r="GI3" t="e">
        <f>#REF!-")$a!.q"</f>
        <v>#REF!</v>
      </c>
      <c r="GJ3" t="e">
        <f>#REF!-")$a!.r"</f>
        <v>#REF!</v>
      </c>
      <c r="GK3" t="e">
        <f>#REF!-")$a!.s"</f>
        <v>#REF!</v>
      </c>
      <c r="GL3" t="e">
        <f>#REF!-")$a!.t"</f>
        <v>#REF!</v>
      </c>
      <c r="GM3" t="e">
        <f>#REF!-")$a!.u"</f>
        <v>#REF!</v>
      </c>
      <c r="GN3" t="e">
        <f>#REF!-")$a!.v"</f>
        <v>#REF!</v>
      </c>
      <c r="GO3" t="e">
        <f>#REF!-")$a!.w"</f>
        <v>#REF!</v>
      </c>
      <c r="GP3" t="e">
        <f>#REF!-")$a!.x"</f>
        <v>#REF!</v>
      </c>
      <c r="GQ3" t="e">
        <f>#REF!-")$a!.y"</f>
        <v>#REF!</v>
      </c>
      <c r="GR3" t="e">
        <f>#REF!-")$a!.z"</f>
        <v>#REF!</v>
      </c>
      <c r="GS3" t="e">
        <f>#REF!-")$a!.{"</f>
        <v>#REF!</v>
      </c>
      <c r="GT3" t="e">
        <f>#REF!-")$a!.|"</f>
        <v>#REF!</v>
      </c>
      <c r="GU3" t="e">
        <f>#REF!-")$a!.}"</f>
        <v>#REF!</v>
      </c>
      <c r="GV3" t="e">
        <f>#REF!-")$a!.~"</f>
        <v>#REF!</v>
      </c>
      <c r="GW3" t="e">
        <f>#REF!-")$a!/#"</f>
        <v>#REF!</v>
      </c>
      <c r="GX3" t="e">
        <f>#REF!-")$a!/$"</f>
        <v>#REF!</v>
      </c>
      <c r="GY3" t="e">
        <f>#REF!-")$a!/%"</f>
        <v>#REF!</v>
      </c>
      <c r="GZ3" t="e">
        <f>#REF!-")$a!/&amp;"</f>
        <v>#REF!</v>
      </c>
      <c r="HA3" t="e">
        <f>#REF!-")$a!/'"</f>
        <v>#REF!</v>
      </c>
      <c r="HB3" t="e">
        <f>#REF!-")$a!/("</f>
        <v>#REF!</v>
      </c>
      <c r="HC3" t="e">
        <f>#REF!-")$a!/)"</f>
        <v>#REF!</v>
      </c>
      <c r="HD3" t="e">
        <f>#REF!-")$a!/."</f>
        <v>#REF!</v>
      </c>
      <c r="HE3" t="e">
        <f>#REF!-")$a!//"</f>
        <v>#REF!</v>
      </c>
      <c r="HF3" t="e">
        <f>#REF!-")$a!/0"</f>
        <v>#REF!</v>
      </c>
      <c r="HG3" t="e">
        <f>#REF!-")$a!/1"</f>
        <v>#REF!</v>
      </c>
      <c r="HH3" t="e">
        <f>#REF!-")$a!/2"</f>
        <v>#REF!</v>
      </c>
      <c r="HI3" t="e">
        <f>#REF!-")$a!/3"</f>
        <v>#REF!</v>
      </c>
      <c r="HJ3" t="e">
        <f>#REF!-")$a!/4"</f>
        <v>#REF!</v>
      </c>
      <c r="HK3" t="e">
        <f>#REF!-")$a!/5"</f>
        <v>#REF!</v>
      </c>
      <c r="HL3" t="e">
        <f>#REF!-")$a!/6"</f>
        <v>#REF!</v>
      </c>
      <c r="HM3" t="e">
        <f>#REF!-")$a!/7"</f>
        <v>#REF!</v>
      </c>
      <c r="HN3" t="e">
        <f>#REF!-")$a!/8"</f>
        <v>#REF!</v>
      </c>
      <c r="HO3" t="e">
        <f>#REF!-")$a!/9"</f>
        <v>#REF!</v>
      </c>
      <c r="HP3" t="e">
        <f>#REF!-")$a!/:"</f>
        <v>#REF!</v>
      </c>
      <c r="HQ3" t="e">
        <f>#REF!-")$a!/;"</f>
        <v>#REF!</v>
      </c>
      <c r="HR3" t="e">
        <f>#REF!-")$a!/&lt;"</f>
        <v>#REF!</v>
      </c>
      <c r="HS3" t="e">
        <f>#REF!-")$a!/="</f>
        <v>#REF!</v>
      </c>
      <c r="HT3" t="e">
        <f>#REF!-")$a!/&gt;"</f>
        <v>#REF!</v>
      </c>
      <c r="HU3" t="e">
        <f>#REF!-")$a!/?"</f>
        <v>#REF!</v>
      </c>
      <c r="HV3" t="e">
        <f>#REF!-")$a!/@"</f>
        <v>#REF!</v>
      </c>
      <c r="HW3" t="e">
        <f>#REF!-")$a!/A"</f>
        <v>#REF!</v>
      </c>
      <c r="HX3" t="e">
        <f>#REF!-")$a!/B"</f>
        <v>#REF!</v>
      </c>
      <c r="HY3" t="e">
        <f>#REF!-")$a!/C"</f>
        <v>#REF!</v>
      </c>
      <c r="HZ3" t="e">
        <f>#REF!-")$a!/D"</f>
        <v>#REF!</v>
      </c>
      <c r="IA3" t="e">
        <f>#REF!-")$a!/E"</f>
        <v>#REF!</v>
      </c>
      <c r="IB3" t="e">
        <f>#REF!-")$a!/F"</f>
        <v>#REF!</v>
      </c>
      <c r="IC3" t="e">
        <f>#REF!-")$a!/G"</f>
        <v>#REF!</v>
      </c>
      <c r="ID3" t="e">
        <f>#REF!-")$a!/H"</f>
        <v>#REF!</v>
      </c>
      <c r="IE3" t="e">
        <f>#REF!-")$a!/I"</f>
        <v>#REF!</v>
      </c>
      <c r="IF3" t="e">
        <f>#REF!-")$a!/J"</f>
        <v>#REF!</v>
      </c>
      <c r="IG3" t="e">
        <f>#REF!-")$a!/K"</f>
        <v>#REF!</v>
      </c>
      <c r="IH3" t="e">
        <f>#REF!-")$a!/L"</f>
        <v>#REF!</v>
      </c>
      <c r="II3" t="e">
        <f>#REF!-")$a!/M"</f>
        <v>#REF!</v>
      </c>
      <c r="IJ3" t="e">
        <f>#REF!-")$a!/N"</f>
        <v>#REF!</v>
      </c>
      <c r="IK3" t="e">
        <f>#REF!-")$a!/O"</f>
        <v>#REF!</v>
      </c>
      <c r="IL3" t="e">
        <f>#REF!-")$a!/P"</f>
        <v>#REF!</v>
      </c>
      <c r="IM3" t="e">
        <f>#REF!-")$a!/Q"</f>
        <v>#REF!</v>
      </c>
      <c r="IN3" t="e">
        <f>#REF!-")$a!/R"</f>
        <v>#REF!</v>
      </c>
      <c r="IO3" t="e">
        <f>#REF!-")$a!/S"</f>
        <v>#REF!</v>
      </c>
      <c r="IP3" t="e">
        <f>#REF!-")$a!/T"</f>
        <v>#REF!</v>
      </c>
      <c r="IQ3" t="e">
        <f>#REF!-")$a!/U"</f>
        <v>#REF!</v>
      </c>
      <c r="IR3" t="e">
        <f>#REF!-")$a!/V"</f>
        <v>#REF!</v>
      </c>
      <c r="IS3" t="e">
        <f>#REF!-")$a!/W"</f>
        <v>#REF!</v>
      </c>
      <c r="IT3" t="e">
        <f>#REF!-")$a!/X"</f>
        <v>#REF!</v>
      </c>
      <c r="IU3" t="e">
        <f>#REF!-")$a!/Y"</f>
        <v>#REF!</v>
      </c>
      <c r="IV3" t="e">
        <f>#REF!-")$a!/Z"</f>
        <v>#REF!</v>
      </c>
    </row>
    <row r="4" spans="1:256" x14ac:dyDescent="0.2">
      <c r="F4" t="e">
        <f>#REF!-")$a!/["</f>
        <v>#REF!</v>
      </c>
      <c r="G4" t="e">
        <f>#REF!-")$a!/\"</f>
        <v>#REF!</v>
      </c>
      <c r="H4" t="e">
        <f>#REF!-")$a!/]"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2D2F6-0A7E-4205-A4A9-F07BCE1F203F}">
  <sheetPr>
    <tabColor theme="2" tint="0.39997558519241921"/>
    <pageSetUpPr fitToPage="1"/>
  </sheetPr>
  <dimension ref="A1:C33"/>
  <sheetViews>
    <sheetView workbookViewId="0">
      <selection activeCell="B4" sqref="B4"/>
    </sheetView>
  </sheetViews>
  <sheetFormatPr defaultRowHeight="15" x14ac:dyDescent="0.2"/>
  <cols>
    <col min="1" max="1" width="66.375" style="1" customWidth="1"/>
    <col min="2" max="2" width="15.625" style="2" customWidth="1"/>
    <col min="3" max="3" width="25.375" style="1" customWidth="1"/>
    <col min="4" max="16384" width="9" style="1"/>
  </cols>
  <sheetData>
    <row r="1" spans="1:3" ht="21" x14ac:dyDescent="0.2">
      <c r="A1" s="18" t="s">
        <v>22</v>
      </c>
      <c r="B1" s="5"/>
      <c r="C1" s="18"/>
    </row>
    <row r="2" spans="1:3" ht="18.75" x14ac:dyDescent="0.2">
      <c r="A2" s="17" t="s">
        <v>19</v>
      </c>
      <c r="B2" s="5"/>
    </row>
    <row r="3" spans="1:3" x14ac:dyDescent="0.2">
      <c r="A3" s="58" t="s">
        <v>41</v>
      </c>
      <c r="B3" s="58"/>
    </row>
    <row r="4" spans="1:3" x14ac:dyDescent="0.2">
      <c r="A4" s="3" t="s">
        <v>24</v>
      </c>
      <c r="B4" s="20">
        <v>0</v>
      </c>
    </row>
    <row r="5" spans="1:3" x14ac:dyDescent="0.2">
      <c r="A5" s="9" t="s">
        <v>23</v>
      </c>
      <c r="B5" s="54">
        <f>'Salary Cap Calc'!D33</f>
        <v>0</v>
      </c>
      <c r="C5" s="1" t="s">
        <v>47</v>
      </c>
    </row>
    <row r="6" spans="1:3" x14ac:dyDescent="0.2">
      <c r="A6" s="3" t="s">
        <v>21</v>
      </c>
      <c r="B6" s="14">
        <f>MAX(0,B4-B5)</f>
        <v>0</v>
      </c>
    </row>
    <row r="7" spans="1:3" s="13" customFormat="1" x14ac:dyDescent="0.2">
      <c r="A7" s="6"/>
      <c r="B7" s="5"/>
    </row>
    <row r="8" spans="1:3" x14ac:dyDescent="0.2">
      <c r="A8" s="3" t="s">
        <v>20</v>
      </c>
      <c r="B8" s="50">
        <f>+B6/12</f>
        <v>0</v>
      </c>
    </row>
    <row r="9" spans="1:3" x14ac:dyDescent="0.2">
      <c r="A9" s="3"/>
      <c r="B9" s="4"/>
    </row>
    <row r="10" spans="1:3" x14ac:dyDescent="0.2">
      <c r="A10" s="3" t="s">
        <v>38</v>
      </c>
      <c r="B10" s="49">
        <v>2.5</v>
      </c>
    </row>
    <row r="11" spans="1:3" x14ac:dyDescent="0.2">
      <c r="A11" s="3"/>
      <c r="B11" s="55"/>
    </row>
    <row r="12" spans="1:3" x14ac:dyDescent="0.2">
      <c r="A12" s="56" t="s">
        <v>42</v>
      </c>
      <c r="B12" s="55"/>
    </row>
    <row r="13" spans="1:3" x14ac:dyDescent="0.2">
      <c r="A13" s="3"/>
      <c r="B13" s="55"/>
    </row>
    <row r="14" spans="1:3" ht="15.75" thickBot="1" x14ac:dyDescent="0.25">
      <c r="A14" s="6" t="s">
        <v>19</v>
      </c>
      <c r="B14" s="51">
        <f>MIN(B8*B10,10000000)</f>
        <v>0</v>
      </c>
    </row>
    <row r="15" spans="1:3" ht="15.75" thickTop="1" x14ac:dyDescent="0.2">
      <c r="A15" s="6"/>
      <c r="B15" s="5"/>
    </row>
    <row r="16" spans="1:3" x14ac:dyDescent="0.2">
      <c r="A16" s="6"/>
      <c r="B16" s="5"/>
    </row>
    <row r="17" spans="1:3" ht="18.75" x14ac:dyDescent="0.2">
      <c r="A17" s="17" t="s">
        <v>18</v>
      </c>
      <c r="B17" s="5"/>
    </row>
    <row r="18" spans="1:3" x14ac:dyDescent="0.2">
      <c r="A18" s="16" t="s">
        <v>17</v>
      </c>
      <c r="B18" s="4"/>
    </row>
    <row r="19" spans="1:3" x14ac:dyDescent="0.2">
      <c r="A19" s="3" t="s">
        <v>24</v>
      </c>
      <c r="B19" s="22">
        <v>0</v>
      </c>
    </row>
    <row r="20" spans="1:3" x14ac:dyDescent="0.2">
      <c r="A20" s="9" t="s">
        <v>23</v>
      </c>
      <c r="B20" s="15">
        <f>'Salary Cap Calc'!K33</f>
        <v>0</v>
      </c>
      <c r="C20" s="1" t="s">
        <v>47</v>
      </c>
    </row>
    <row r="21" spans="1:3" x14ac:dyDescent="0.2">
      <c r="A21" s="3" t="s">
        <v>15</v>
      </c>
      <c r="B21" s="23">
        <v>0</v>
      </c>
      <c r="C21" s="60" t="s">
        <v>48</v>
      </c>
    </row>
    <row r="22" spans="1:3" x14ac:dyDescent="0.2">
      <c r="A22" s="3" t="s">
        <v>14</v>
      </c>
      <c r="B22" s="23">
        <v>0</v>
      </c>
      <c r="C22" s="60"/>
    </row>
    <row r="23" spans="1:3" x14ac:dyDescent="0.2">
      <c r="A23" s="3" t="s">
        <v>13</v>
      </c>
      <c r="B23" s="47">
        <v>0</v>
      </c>
      <c r="C23" s="60"/>
    </row>
    <row r="24" spans="1:3" x14ac:dyDescent="0.2">
      <c r="A24" s="3" t="s">
        <v>12</v>
      </c>
      <c r="B24" s="14">
        <f>MAX(0,B19-B20+B21+B22+B23)</f>
        <v>0</v>
      </c>
    </row>
    <row r="25" spans="1:3" x14ac:dyDescent="0.2">
      <c r="A25" s="3"/>
      <c r="B25" s="4"/>
    </row>
    <row r="26" spans="1:3" x14ac:dyDescent="0.2">
      <c r="A26" s="3" t="s">
        <v>11</v>
      </c>
      <c r="B26" s="14">
        <f>B14</f>
        <v>0</v>
      </c>
    </row>
    <row r="27" spans="1:3" x14ac:dyDescent="0.2">
      <c r="A27" s="3"/>
      <c r="B27" s="4"/>
    </row>
    <row r="28" spans="1:3" s="13" customFormat="1" ht="15.75" thickBot="1" x14ac:dyDescent="0.25">
      <c r="A28" s="6" t="s">
        <v>10</v>
      </c>
      <c r="B28" s="51">
        <f>MIN(B24,B26)</f>
        <v>0</v>
      </c>
    </row>
    <row r="29" spans="1:3" ht="15.75" thickTop="1" x14ac:dyDescent="0.2">
      <c r="A29" s="3"/>
      <c r="B29" s="4"/>
    </row>
    <row r="30" spans="1:3" x14ac:dyDescent="0.2">
      <c r="A30" s="6"/>
      <c r="B30" s="5"/>
    </row>
    <row r="31" spans="1:3" x14ac:dyDescent="0.2">
      <c r="A31" s="6" t="s">
        <v>44</v>
      </c>
      <c r="B31" s="7">
        <f>+B14-B28</f>
        <v>0</v>
      </c>
    </row>
    <row r="32" spans="1:3" x14ac:dyDescent="0.2">
      <c r="A32" s="6"/>
      <c r="B32" s="5"/>
    </row>
    <row r="33" spans="1:3" x14ac:dyDescent="0.2">
      <c r="A33" s="3"/>
      <c r="B33" s="4"/>
      <c r="C33" s="3"/>
    </row>
  </sheetData>
  <sheetProtection algorithmName="SHA-512" hashValue="aq0qgf9qnHZpPSktYd95Ce2cebyaniZgmvTdZVn+Uh0irVeyetDKK0gY8hNKKfjNimavASt8r3xCvxSY2RaCUA==" saltValue="oYGNcDR8pOqhsv3u1ZkXxg==" spinCount="100000" sheet="1" objects="1" scenarios="1"/>
  <mergeCells count="2">
    <mergeCell ref="A3:B3"/>
    <mergeCell ref="C21:C23"/>
  </mergeCells>
  <pageMargins left="0.7" right="0.7" top="0.75" bottom="0.75" header="0.3" footer="0.3"/>
  <pageSetup scale="8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6E22F-7EC1-49D3-B49F-86EAEB0D4B66}">
  <sheetPr>
    <tabColor theme="2" tint="0.39997558519241921"/>
    <pageSetUpPr fitToPage="1"/>
  </sheetPr>
  <dimension ref="A1:M73"/>
  <sheetViews>
    <sheetView workbookViewId="0">
      <selection activeCell="A4" sqref="A4"/>
    </sheetView>
  </sheetViews>
  <sheetFormatPr defaultRowHeight="12.75" x14ac:dyDescent="0.2"/>
  <cols>
    <col min="1" max="1" width="50.125" style="1" customWidth="1"/>
    <col min="2" max="2" width="1.125" style="1" customWidth="1"/>
    <col min="3" max="3" width="26.75" style="1" customWidth="1"/>
    <col min="4" max="4" width="25.625" style="1" customWidth="1"/>
    <col min="5" max="7" width="6.625" style="1" customWidth="1"/>
    <col min="8" max="8" width="52.875" style="1" customWidth="1"/>
    <col min="9" max="9" width="1.125" style="1" customWidth="1"/>
    <col min="10" max="10" width="26.5" style="1" customWidth="1"/>
    <col min="11" max="11" width="25.625" style="1" customWidth="1"/>
    <col min="12" max="12" width="9" style="1"/>
    <col min="13" max="13" width="8.625" style="1" bestFit="1" customWidth="1"/>
    <col min="14" max="16384" width="9" style="1"/>
  </cols>
  <sheetData>
    <row r="1" spans="1:13" ht="43.5" customHeight="1" x14ac:dyDescent="0.2">
      <c r="A1" s="61" t="s">
        <v>49</v>
      </c>
      <c r="B1" s="61"/>
      <c r="C1" s="61"/>
      <c r="D1" s="61"/>
      <c r="F1" s="28"/>
      <c r="H1" s="61" t="s">
        <v>50</v>
      </c>
      <c r="I1" s="61"/>
      <c r="J1" s="61"/>
      <c r="K1" s="61"/>
    </row>
    <row r="2" spans="1:13" ht="15" customHeight="1" x14ac:dyDescent="0.2">
      <c r="A2" s="58" t="s">
        <v>41</v>
      </c>
      <c r="B2" s="58"/>
      <c r="C2" s="58"/>
      <c r="D2" s="29"/>
      <c r="E2" s="29"/>
      <c r="F2" s="30"/>
      <c r="G2" s="29"/>
      <c r="H2" s="58" t="s">
        <v>26</v>
      </c>
      <c r="I2" s="58"/>
      <c r="J2" s="58"/>
      <c r="K2" s="29"/>
    </row>
    <row r="3" spans="1:13" s="43" customFormat="1" ht="31.5" x14ac:dyDescent="0.25">
      <c r="A3" s="41" t="s">
        <v>25</v>
      </c>
      <c r="B3" s="41"/>
      <c r="C3" s="42" t="s">
        <v>59</v>
      </c>
      <c r="D3" s="42" t="s">
        <v>51</v>
      </c>
      <c r="F3" s="44"/>
      <c r="H3" s="41" t="s">
        <v>25</v>
      </c>
      <c r="I3" s="41"/>
      <c r="J3" s="42" t="s">
        <v>57</v>
      </c>
      <c r="K3" s="42" t="s">
        <v>52</v>
      </c>
    </row>
    <row r="4" spans="1:13" ht="15" x14ac:dyDescent="0.2">
      <c r="A4" s="26"/>
      <c r="B4" s="19"/>
      <c r="C4" s="27">
        <v>0</v>
      </c>
      <c r="D4" s="35">
        <f t="shared" ref="D4:D31" si="0">MAX(C4-100000, 0)</f>
        <v>0</v>
      </c>
      <c r="E4" s="29"/>
      <c r="F4" s="30"/>
      <c r="G4" s="29"/>
      <c r="H4" s="24"/>
      <c r="I4" s="19"/>
      <c r="J4" s="25">
        <v>0</v>
      </c>
      <c r="K4" s="35">
        <f t="shared" ref="K4:K31" si="1">MAX(J4-((100000/52)*8), 0)</f>
        <v>0</v>
      </c>
      <c r="M4" s="36"/>
    </row>
    <row r="5" spans="1:13" ht="15" x14ac:dyDescent="0.2">
      <c r="A5" s="26"/>
      <c r="B5" s="19"/>
      <c r="C5" s="26">
        <v>0</v>
      </c>
      <c r="D5" s="37">
        <f t="shared" si="0"/>
        <v>0</v>
      </c>
      <c r="E5" s="29"/>
      <c r="F5" s="30"/>
      <c r="G5" s="29"/>
      <c r="H5" s="24"/>
      <c r="I5" s="19"/>
      <c r="J5" s="24">
        <v>0</v>
      </c>
      <c r="K5" s="37">
        <f t="shared" si="1"/>
        <v>0</v>
      </c>
    </row>
    <row r="6" spans="1:13" ht="15" x14ac:dyDescent="0.2">
      <c r="A6" s="26"/>
      <c r="B6" s="19"/>
      <c r="C6" s="26">
        <v>0</v>
      </c>
      <c r="D6" s="37">
        <f t="shared" si="0"/>
        <v>0</v>
      </c>
      <c r="E6" s="29"/>
      <c r="F6" s="30"/>
      <c r="G6" s="29"/>
      <c r="H6" s="24"/>
      <c r="I6" s="19"/>
      <c r="J6" s="24"/>
      <c r="K6" s="37">
        <f t="shared" si="1"/>
        <v>0</v>
      </c>
    </row>
    <row r="7" spans="1:13" ht="15" x14ac:dyDescent="0.2">
      <c r="A7" s="26"/>
      <c r="B7" s="19"/>
      <c r="C7" s="26">
        <v>0</v>
      </c>
      <c r="D7" s="37">
        <f t="shared" si="0"/>
        <v>0</v>
      </c>
      <c r="E7" s="29"/>
      <c r="F7" s="30"/>
      <c r="G7" s="29"/>
      <c r="H7" s="24"/>
      <c r="I7" s="19"/>
      <c r="J7" s="24">
        <v>0</v>
      </c>
      <c r="K7" s="37">
        <f t="shared" si="1"/>
        <v>0</v>
      </c>
    </row>
    <row r="8" spans="1:13" ht="15" x14ac:dyDescent="0.2">
      <c r="A8" s="26"/>
      <c r="B8" s="19"/>
      <c r="C8" s="26">
        <v>0</v>
      </c>
      <c r="D8" s="37">
        <f t="shared" si="0"/>
        <v>0</v>
      </c>
      <c r="E8" s="29"/>
      <c r="F8" s="30"/>
      <c r="G8" s="29"/>
      <c r="H8" s="24"/>
      <c r="I8" s="19"/>
      <c r="J8" s="24">
        <v>0</v>
      </c>
      <c r="K8" s="37">
        <f t="shared" si="1"/>
        <v>0</v>
      </c>
    </row>
    <row r="9" spans="1:13" ht="15" x14ac:dyDescent="0.2">
      <c r="A9" s="26"/>
      <c r="B9" s="19"/>
      <c r="C9" s="26">
        <v>0</v>
      </c>
      <c r="D9" s="37">
        <f t="shared" si="0"/>
        <v>0</v>
      </c>
      <c r="E9" s="29"/>
      <c r="F9" s="30"/>
      <c r="G9" s="29"/>
      <c r="H9" s="24"/>
      <c r="I9" s="19"/>
      <c r="J9" s="24">
        <v>0</v>
      </c>
      <c r="K9" s="37">
        <f t="shared" si="1"/>
        <v>0</v>
      </c>
    </row>
    <row r="10" spans="1:13" ht="15" x14ac:dyDescent="0.2">
      <c r="A10" s="26"/>
      <c r="B10" s="19"/>
      <c r="C10" s="26">
        <v>0</v>
      </c>
      <c r="D10" s="37">
        <f t="shared" si="0"/>
        <v>0</v>
      </c>
      <c r="E10" s="29"/>
      <c r="F10" s="30"/>
      <c r="G10" s="29"/>
      <c r="H10" s="24"/>
      <c r="I10" s="19"/>
      <c r="J10" s="24">
        <v>0</v>
      </c>
      <c r="K10" s="37">
        <f t="shared" si="1"/>
        <v>0</v>
      </c>
    </row>
    <row r="11" spans="1:13" ht="15" x14ac:dyDescent="0.2">
      <c r="A11" s="26"/>
      <c r="B11" s="19"/>
      <c r="C11" s="26">
        <v>0</v>
      </c>
      <c r="D11" s="37">
        <f t="shared" si="0"/>
        <v>0</v>
      </c>
      <c r="E11" s="29"/>
      <c r="F11" s="30"/>
      <c r="G11" s="29"/>
      <c r="H11" s="24"/>
      <c r="I11" s="19"/>
      <c r="J11" s="24">
        <v>0</v>
      </c>
      <c r="K11" s="37">
        <f t="shared" si="1"/>
        <v>0</v>
      </c>
    </row>
    <row r="12" spans="1:13" ht="15" x14ac:dyDescent="0.2">
      <c r="A12" s="26"/>
      <c r="B12" s="19"/>
      <c r="C12" s="26">
        <v>0</v>
      </c>
      <c r="D12" s="37">
        <f t="shared" si="0"/>
        <v>0</v>
      </c>
      <c r="E12" s="29"/>
      <c r="F12" s="30"/>
      <c r="G12" s="29"/>
      <c r="H12" s="24"/>
      <c r="I12" s="19"/>
      <c r="J12" s="24">
        <v>0</v>
      </c>
      <c r="K12" s="37">
        <f t="shared" si="1"/>
        <v>0</v>
      </c>
    </row>
    <row r="13" spans="1:13" ht="15" x14ac:dyDescent="0.2">
      <c r="A13" s="26"/>
      <c r="B13" s="19"/>
      <c r="C13" s="26">
        <v>0</v>
      </c>
      <c r="D13" s="37">
        <f t="shared" si="0"/>
        <v>0</v>
      </c>
      <c r="E13" s="29"/>
      <c r="F13" s="30"/>
      <c r="G13" s="29"/>
      <c r="H13" s="24"/>
      <c r="I13" s="19"/>
      <c r="J13" s="24">
        <v>0</v>
      </c>
      <c r="K13" s="37">
        <f t="shared" si="1"/>
        <v>0</v>
      </c>
    </row>
    <row r="14" spans="1:13" ht="15" x14ac:dyDescent="0.2">
      <c r="A14" s="26"/>
      <c r="B14" s="19"/>
      <c r="C14" s="26">
        <v>0</v>
      </c>
      <c r="D14" s="37">
        <f t="shared" si="0"/>
        <v>0</v>
      </c>
      <c r="E14" s="29"/>
      <c r="F14" s="30"/>
      <c r="G14" s="29"/>
      <c r="H14" s="24"/>
      <c r="I14" s="19"/>
      <c r="J14" s="24">
        <v>0</v>
      </c>
      <c r="K14" s="37">
        <f t="shared" si="1"/>
        <v>0</v>
      </c>
    </row>
    <row r="15" spans="1:13" ht="15" x14ac:dyDescent="0.2">
      <c r="A15" s="26"/>
      <c r="B15" s="19"/>
      <c r="C15" s="26">
        <v>0</v>
      </c>
      <c r="D15" s="37">
        <f t="shared" si="0"/>
        <v>0</v>
      </c>
      <c r="E15" s="29"/>
      <c r="F15" s="30"/>
      <c r="G15" s="29"/>
      <c r="H15" s="24"/>
      <c r="I15" s="19"/>
      <c r="J15" s="24">
        <v>0</v>
      </c>
      <c r="K15" s="37">
        <f t="shared" si="1"/>
        <v>0</v>
      </c>
    </row>
    <row r="16" spans="1:13" ht="15" x14ac:dyDescent="0.2">
      <c r="A16" s="26"/>
      <c r="B16" s="19"/>
      <c r="C16" s="26">
        <v>0</v>
      </c>
      <c r="D16" s="37">
        <f t="shared" si="0"/>
        <v>0</v>
      </c>
      <c r="E16" s="29"/>
      <c r="F16" s="30"/>
      <c r="G16" s="29"/>
      <c r="H16" s="24"/>
      <c r="I16" s="19"/>
      <c r="J16" s="24">
        <v>0</v>
      </c>
      <c r="K16" s="37">
        <f t="shared" si="1"/>
        <v>0</v>
      </c>
    </row>
    <row r="17" spans="1:11" ht="15" x14ac:dyDescent="0.2">
      <c r="A17" s="26"/>
      <c r="B17" s="19"/>
      <c r="C17" s="26">
        <v>0</v>
      </c>
      <c r="D17" s="37">
        <f t="shared" si="0"/>
        <v>0</v>
      </c>
      <c r="E17" s="29"/>
      <c r="F17" s="30"/>
      <c r="G17" s="29"/>
      <c r="H17" s="24"/>
      <c r="I17" s="19"/>
      <c r="J17" s="24">
        <v>0</v>
      </c>
      <c r="K17" s="37">
        <f t="shared" si="1"/>
        <v>0</v>
      </c>
    </row>
    <row r="18" spans="1:11" ht="15" x14ac:dyDescent="0.2">
      <c r="A18" s="26"/>
      <c r="B18" s="19"/>
      <c r="C18" s="26">
        <v>0</v>
      </c>
      <c r="D18" s="37">
        <f t="shared" si="0"/>
        <v>0</v>
      </c>
      <c r="E18" s="29"/>
      <c r="F18" s="30"/>
      <c r="G18" s="29"/>
      <c r="H18" s="24"/>
      <c r="I18" s="19"/>
      <c r="J18" s="24">
        <v>0</v>
      </c>
      <c r="K18" s="37">
        <f t="shared" si="1"/>
        <v>0</v>
      </c>
    </row>
    <row r="19" spans="1:11" ht="15" x14ac:dyDescent="0.2">
      <c r="A19" s="26"/>
      <c r="B19" s="19"/>
      <c r="C19" s="26">
        <v>0</v>
      </c>
      <c r="D19" s="37">
        <f t="shared" si="0"/>
        <v>0</v>
      </c>
      <c r="E19" s="29"/>
      <c r="F19" s="30"/>
      <c r="G19" s="29"/>
      <c r="H19" s="24"/>
      <c r="I19" s="19"/>
      <c r="J19" s="24">
        <v>0</v>
      </c>
      <c r="K19" s="37">
        <f t="shared" si="1"/>
        <v>0</v>
      </c>
    </row>
    <row r="20" spans="1:11" ht="15" x14ac:dyDescent="0.2">
      <c r="A20" s="26"/>
      <c r="B20" s="19"/>
      <c r="C20" s="26">
        <v>0</v>
      </c>
      <c r="D20" s="37">
        <f t="shared" si="0"/>
        <v>0</v>
      </c>
      <c r="E20" s="29"/>
      <c r="F20" s="30"/>
      <c r="G20" s="29"/>
      <c r="H20" s="24"/>
      <c r="I20" s="19"/>
      <c r="J20" s="24">
        <v>0</v>
      </c>
      <c r="K20" s="37">
        <f t="shared" si="1"/>
        <v>0</v>
      </c>
    </row>
    <row r="21" spans="1:11" ht="15" x14ac:dyDescent="0.2">
      <c r="A21" s="26"/>
      <c r="B21" s="19"/>
      <c r="C21" s="26">
        <v>0</v>
      </c>
      <c r="D21" s="37">
        <f t="shared" si="0"/>
        <v>0</v>
      </c>
      <c r="E21" s="29"/>
      <c r="F21" s="30"/>
      <c r="G21" s="29"/>
      <c r="H21" s="24"/>
      <c r="I21" s="19"/>
      <c r="J21" s="24">
        <v>0</v>
      </c>
      <c r="K21" s="37">
        <f t="shared" si="1"/>
        <v>0</v>
      </c>
    </row>
    <row r="22" spans="1:11" ht="15" x14ac:dyDescent="0.2">
      <c r="A22" s="26"/>
      <c r="B22" s="19"/>
      <c r="C22" s="26">
        <v>0</v>
      </c>
      <c r="D22" s="37">
        <f t="shared" si="0"/>
        <v>0</v>
      </c>
      <c r="E22" s="29"/>
      <c r="F22" s="30"/>
      <c r="G22" s="29"/>
      <c r="H22" s="24"/>
      <c r="I22" s="19"/>
      <c r="J22" s="24">
        <v>0</v>
      </c>
      <c r="K22" s="37">
        <f t="shared" si="1"/>
        <v>0</v>
      </c>
    </row>
    <row r="23" spans="1:11" ht="15" x14ac:dyDescent="0.2">
      <c r="A23" s="26"/>
      <c r="B23" s="19"/>
      <c r="C23" s="26">
        <v>0</v>
      </c>
      <c r="D23" s="37">
        <f t="shared" si="0"/>
        <v>0</v>
      </c>
      <c r="E23" s="29"/>
      <c r="F23" s="30"/>
      <c r="G23" s="29"/>
      <c r="H23" s="24"/>
      <c r="I23" s="19"/>
      <c r="J23" s="24">
        <v>0</v>
      </c>
      <c r="K23" s="37">
        <f t="shared" si="1"/>
        <v>0</v>
      </c>
    </row>
    <row r="24" spans="1:11" ht="15" x14ac:dyDescent="0.2">
      <c r="A24" s="26"/>
      <c r="B24" s="19"/>
      <c r="C24" s="26">
        <v>0</v>
      </c>
      <c r="D24" s="37">
        <f t="shared" si="0"/>
        <v>0</v>
      </c>
      <c r="E24" s="29"/>
      <c r="F24" s="30"/>
      <c r="G24" s="29"/>
      <c r="H24" s="24"/>
      <c r="I24" s="19"/>
      <c r="J24" s="24">
        <v>0</v>
      </c>
      <c r="K24" s="37">
        <f t="shared" si="1"/>
        <v>0</v>
      </c>
    </row>
    <row r="25" spans="1:11" ht="15" x14ac:dyDescent="0.2">
      <c r="A25" s="26"/>
      <c r="B25" s="19"/>
      <c r="C25" s="26">
        <v>0</v>
      </c>
      <c r="D25" s="37">
        <f t="shared" si="0"/>
        <v>0</v>
      </c>
      <c r="E25" s="29"/>
      <c r="F25" s="30"/>
      <c r="G25" s="29"/>
      <c r="H25" s="24"/>
      <c r="I25" s="19"/>
      <c r="J25" s="24">
        <v>0</v>
      </c>
      <c r="K25" s="37">
        <f t="shared" si="1"/>
        <v>0</v>
      </c>
    </row>
    <row r="26" spans="1:11" ht="15" x14ac:dyDescent="0.2">
      <c r="A26" s="26"/>
      <c r="B26" s="19"/>
      <c r="C26" s="26">
        <v>0</v>
      </c>
      <c r="D26" s="37">
        <f t="shared" si="0"/>
        <v>0</v>
      </c>
      <c r="E26" s="29"/>
      <c r="F26" s="30"/>
      <c r="G26" s="29"/>
      <c r="H26" s="24"/>
      <c r="I26" s="19"/>
      <c r="J26" s="24">
        <v>0</v>
      </c>
      <c r="K26" s="37">
        <f t="shared" si="1"/>
        <v>0</v>
      </c>
    </row>
    <row r="27" spans="1:11" ht="15" x14ac:dyDescent="0.2">
      <c r="A27" s="26"/>
      <c r="B27" s="19"/>
      <c r="C27" s="26">
        <v>0</v>
      </c>
      <c r="D27" s="37">
        <f t="shared" si="0"/>
        <v>0</v>
      </c>
      <c r="E27" s="29"/>
      <c r="F27" s="30"/>
      <c r="G27" s="29"/>
      <c r="H27" s="24"/>
      <c r="I27" s="19"/>
      <c r="J27" s="24">
        <v>0</v>
      </c>
      <c r="K27" s="37">
        <f t="shared" si="1"/>
        <v>0</v>
      </c>
    </row>
    <row r="28" spans="1:11" ht="15" x14ac:dyDescent="0.2">
      <c r="A28" s="26"/>
      <c r="B28" s="19"/>
      <c r="C28" s="26">
        <v>0</v>
      </c>
      <c r="D28" s="37">
        <f t="shared" si="0"/>
        <v>0</v>
      </c>
      <c r="E28" s="29"/>
      <c r="F28" s="30"/>
      <c r="G28" s="29"/>
      <c r="H28" s="24"/>
      <c r="I28" s="19"/>
      <c r="J28" s="24">
        <v>0</v>
      </c>
      <c r="K28" s="37">
        <f t="shared" si="1"/>
        <v>0</v>
      </c>
    </row>
    <row r="29" spans="1:11" ht="15" x14ac:dyDescent="0.2">
      <c r="A29" s="26"/>
      <c r="B29" s="19"/>
      <c r="C29" s="26">
        <v>0</v>
      </c>
      <c r="D29" s="37">
        <f t="shared" si="0"/>
        <v>0</v>
      </c>
      <c r="E29" s="29"/>
      <c r="F29" s="30"/>
      <c r="G29" s="29"/>
      <c r="H29" s="24"/>
      <c r="I29" s="19"/>
      <c r="J29" s="24">
        <v>0</v>
      </c>
      <c r="K29" s="37">
        <f t="shared" si="1"/>
        <v>0</v>
      </c>
    </row>
    <row r="30" spans="1:11" ht="15" x14ac:dyDescent="0.2">
      <c r="A30" s="26"/>
      <c r="B30" s="19"/>
      <c r="C30" s="26">
        <v>0</v>
      </c>
      <c r="D30" s="37">
        <f t="shared" si="0"/>
        <v>0</v>
      </c>
      <c r="E30" s="29"/>
      <c r="F30" s="30"/>
      <c r="G30" s="29"/>
      <c r="H30" s="24"/>
      <c r="I30" s="19"/>
      <c r="J30" s="24">
        <v>0</v>
      </c>
      <c r="K30" s="37">
        <f t="shared" si="1"/>
        <v>0</v>
      </c>
    </row>
    <row r="31" spans="1:11" ht="17.25" x14ac:dyDescent="0.2">
      <c r="A31" s="26"/>
      <c r="B31" s="19"/>
      <c r="C31" s="26">
        <v>0</v>
      </c>
      <c r="D31" s="38">
        <f t="shared" si="0"/>
        <v>0</v>
      </c>
      <c r="E31" s="29"/>
      <c r="F31" s="30"/>
      <c r="G31" s="29"/>
      <c r="H31" s="24"/>
      <c r="I31" s="19"/>
      <c r="J31" s="24">
        <v>0</v>
      </c>
      <c r="K31" s="38">
        <f t="shared" si="1"/>
        <v>0</v>
      </c>
    </row>
    <row r="32" spans="1:11" ht="15" x14ac:dyDescent="0.2">
      <c r="A32" s="29"/>
      <c r="B32" s="29"/>
      <c r="C32" s="39"/>
      <c r="D32" s="37"/>
      <c r="E32" s="29"/>
      <c r="F32" s="30"/>
      <c r="G32" s="29"/>
      <c r="H32" s="29"/>
      <c r="I32" s="29"/>
      <c r="J32" s="39"/>
      <c r="K32" s="37"/>
    </row>
    <row r="33" spans="1:11" s="13" customFormat="1" ht="17.25" x14ac:dyDescent="0.2">
      <c r="A33" s="33" t="s">
        <v>53</v>
      </c>
      <c r="B33" s="33"/>
      <c r="C33" s="33"/>
      <c r="D33" s="40">
        <f>SUM(D4:D31)</f>
        <v>0</v>
      </c>
      <c r="E33" s="33"/>
      <c r="F33" s="34"/>
      <c r="G33" s="33"/>
      <c r="H33" s="33" t="s">
        <v>53</v>
      </c>
      <c r="I33" s="33"/>
      <c r="J33" s="33"/>
      <c r="K33" s="40">
        <f>SUM(K4:K31)</f>
        <v>0</v>
      </c>
    </row>
    <row r="34" spans="1:11" ht="15" x14ac:dyDescent="0.2">
      <c r="A34" s="29"/>
      <c r="B34" s="29"/>
      <c r="C34" s="29"/>
      <c r="D34" s="29"/>
      <c r="E34" s="29"/>
      <c r="F34" s="29"/>
      <c r="G34" s="29"/>
    </row>
    <row r="35" spans="1:11" ht="15" x14ac:dyDescent="0.2">
      <c r="A35" s="29"/>
      <c r="B35" s="29"/>
      <c r="C35" s="29"/>
      <c r="D35" s="29"/>
      <c r="E35" s="29"/>
      <c r="F35" s="29"/>
      <c r="G35" s="29"/>
    </row>
    <row r="36" spans="1:11" ht="15" x14ac:dyDescent="0.2">
      <c r="A36" s="29"/>
      <c r="B36" s="29"/>
      <c r="C36" s="29"/>
      <c r="D36" s="29"/>
      <c r="E36" s="29"/>
      <c r="F36" s="29"/>
      <c r="G36" s="29"/>
    </row>
    <row r="37" spans="1:11" ht="15" x14ac:dyDescent="0.2">
      <c r="A37" s="29"/>
      <c r="B37" s="29"/>
      <c r="C37" s="29"/>
      <c r="D37" s="29"/>
      <c r="E37" s="29"/>
      <c r="F37" s="29"/>
      <c r="G37" s="29"/>
    </row>
    <row r="38" spans="1:11" ht="15" x14ac:dyDescent="0.2">
      <c r="A38" s="29"/>
      <c r="B38" s="29"/>
      <c r="C38" s="29"/>
      <c r="D38" s="29"/>
      <c r="E38" s="29"/>
      <c r="F38" s="29"/>
      <c r="G38" s="29"/>
    </row>
    <row r="39" spans="1:11" ht="15" x14ac:dyDescent="0.2">
      <c r="A39" s="29"/>
      <c r="B39" s="29"/>
      <c r="C39" s="29"/>
      <c r="D39" s="29"/>
      <c r="E39" s="29"/>
      <c r="F39" s="29"/>
      <c r="G39" s="29"/>
    </row>
    <row r="40" spans="1:11" ht="15" x14ac:dyDescent="0.2">
      <c r="A40" s="29"/>
      <c r="B40" s="29"/>
      <c r="C40" s="29"/>
      <c r="D40" s="29"/>
      <c r="E40" s="29"/>
      <c r="F40" s="29"/>
      <c r="G40" s="29"/>
    </row>
    <row r="41" spans="1:11" ht="15" x14ac:dyDescent="0.2">
      <c r="A41" s="29"/>
      <c r="B41" s="29"/>
      <c r="C41" s="29"/>
      <c r="D41" s="29"/>
      <c r="E41" s="29"/>
      <c r="F41" s="29"/>
      <c r="G41" s="29"/>
    </row>
    <row r="42" spans="1:11" ht="15" x14ac:dyDescent="0.2">
      <c r="A42" s="29"/>
      <c r="B42" s="29"/>
      <c r="C42" s="29"/>
      <c r="D42" s="29"/>
      <c r="E42" s="29"/>
      <c r="F42" s="29"/>
      <c r="G42" s="29"/>
    </row>
    <row r="43" spans="1:11" ht="15" x14ac:dyDescent="0.2">
      <c r="A43" s="29"/>
      <c r="B43" s="29"/>
      <c r="C43" s="29"/>
      <c r="D43" s="29"/>
      <c r="E43" s="29"/>
      <c r="F43" s="29"/>
      <c r="G43" s="29"/>
    </row>
    <row r="44" spans="1:11" ht="15" x14ac:dyDescent="0.2">
      <c r="A44" s="29"/>
      <c r="B44" s="29"/>
      <c r="C44" s="29"/>
      <c r="D44" s="29"/>
      <c r="E44" s="29"/>
      <c r="F44" s="29"/>
      <c r="G44" s="29"/>
    </row>
    <row r="45" spans="1:11" ht="15" x14ac:dyDescent="0.2">
      <c r="A45" s="29"/>
      <c r="B45" s="29"/>
      <c r="C45" s="29"/>
      <c r="D45" s="29"/>
      <c r="E45" s="29"/>
      <c r="F45" s="29"/>
      <c r="G45" s="29"/>
    </row>
    <row r="46" spans="1:11" ht="15" x14ac:dyDescent="0.2">
      <c r="A46" s="29"/>
      <c r="B46" s="29"/>
      <c r="C46" s="29"/>
      <c r="D46" s="29"/>
      <c r="E46" s="29"/>
      <c r="F46" s="29"/>
      <c r="G46" s="29"/>
    </row>
    <row r="47" spans="1:11" ht="15" x14ac:dyDescent="0.2">
      <c r="A47" s="29"/>
      <c r="B47" s="29"/>
      <c r="C47" s="29"/>
      <c r="D47" s="29"/>
      <c r="E47" s="29"/>
      <c r="F47" s="29"/>
      <c r="G47" s="29"/>
    </row>
    <row r="48" spans="1:11" ht="15" x14ac:dyDescent="0.2">
      <c r="A48" s="29"/>
      <c r="B48" s="29"/>
      <c r="C48" s="29"/>
      <c r="D48" s="29"/>
      <c r="E48" s="29"/>
      <c r="F48" s="29"/>
      <c r="G48" s="29"/>
    </row>
    <row r="49" spans="1:7" ht="15" x14ac:dyDescent="0.2">
      <c r="A49" s="29"/>
      <c r="B49" s="29"/>
      <c r="C49" s="29"/>
      <c r="D49" s="29"/>
      <c r="E49" s="29"/>
      <c r="F49" s="29"/>
      <c r="G49" s="29"/>
    </row>
    <row r="50" spans="1:7" ht="15" x14ac:dyDescent="0.2">
      <c r="A50" s="29"/>
      <c r="B50" s="29"/>
      <c r="C50" s="29"/>
      <c r="D50" s="29"/>
      <c r="E50" s="29"/>
      <c r="F50" s="29"/>
      <c r="G50" s="29"/>
    </row>
    <row r="51" spans="1:7" ht="15" x14ac:dyDescent="0.2">
      <c r="A51" s="29"/>
      <c r="B51" s="29"/>
      <c r="C51" s="29"/>
      <c r="D51" s="29"/>
      <c r="E51" s="29"/>
      <c r="F51" s="29"/>
      <c r="G51" s="29"/>
    </row>
    <row r="52" spans="1:7" ht="15" x14ac:dyDescent="0.2">
      <c r="A52" s="29"/>
      <c r="B52" s="29"/>
      <c r="C52" s="29"/>
      <c r="D52" s="29"/>
      <c r="E52" s="29"/>
      <c r="F52" s="29"/>
      <c r="G52" s="29"/>
    </row>
    <row r="53" spans="1:7" ht="15" x14ac:dyDescent="0.2">
      <c r="A53" s="29"/>
      <c r="B53" s="29"/>
      <c r="C53" s="29"/>
      <c r="D53" s="29"/>
      <c r="E53" s="29"/>
      <c r="F53" s="29"/>
      <c r="G53" s="29"/>
    </row>
    <row r="54" spans="1:7" ht="15" x14ac:dyDescent="0.2">
      <c r="A54" s="29"/>
      <c r="B54" s="29"/>
      <c r="C54" s="29"/>
      <c r="D54" s="29"/>
      <c r="E54" s="29"/>
      <c r="F54" s="29"/>
      <c r="G54" s="29"/>
    </row>
    <row r="55" spans="1:7" ht="15" x14ac:dyDescent="0.2">
      <c r="A55" s="29"/>
      <c r="B55" s="29"/>
      <c r="C55" s="29"/>
      <c r="D55" s="29"/>
      <c r="E55" s="29"/>
      <c r="F55" s="29"/>
      <c r="G55" s="29"/>
    </row>
    <row r="56" spans="1:7" ht="15" x14ac:dyDescent="0.2">
      <c r="A56" s="29"/>
      <c r="B56" s="29"/>
      <c r="C56" s="29"/>
      <c r="D56" s="29"/>
      <c r="E56" s="29"/>
      <c r="F56" s="29"/>
      <c r="G56" s="29"/>
    </row>
    <row r="57" spans="1:7" ht="15" x14ac:dyDescent="0.2">
      <c r="A57" s="29"/>
      <c r="B57" s="29"/>
      <c r="C57" s="29"/>
      <c r="D57" s="29"/>
      <c r="E57" s="29"/>
      <c r="F57" s="29"/>
      <c r="G57" s="29"/>
    </row>
    <row r="58" spans="1:7" ht="15" x14ac:dyDescent="0.2">
      <c r="A58" s="29"/>
      <c r="B58" s="29"/>
      <c r="C58" s="29"/>
      <c r="D58" s="29"/>
      <c r="E58" s="29"/>
      <c r="F58" s="29"/>
      <c r="G58" s="29"/>
    </row>
    <row r="59" spans="1:7" ht="15" x14ac:dyDescent="0.2">
      <c r="A59" s="29"/>
      <c r="B59" s="29"/>
      <c r="C59" s="29"/>
      <c r="D59" s="29"/>
      <c r="E59" s="29"/>
      <c r="F59" s="29"/>
      <c r="G59" s="29"/>
    </row>
    <row r="60" spans="1:7" ht="15" x14ac:dyDescent="0.2">
      <c r="A60" s="29"/>
      <c r="B60" s="29"/>
      <c r="C60" s="29"/>
      <c r="D60" s="29"/>
      <c r="E60" s="29"/>
      <c r="F60" s="29"/>
      <c r="G60" s="29"/>
    </row>
    <row r="61" spans="1:7" ht="15" x14ac:dyDescent="0.2">
      <c r="A61" s="29"/>
      <c r="B61" s="29"/>
      <c r="C61" s="29"/>
      <c r="D61" s="29"/>
      <c r="E61" s="29"/>
      <c r="F61" s="29"/>
      <c r="G61" s="29"/>
    </row>
    <row r="62" spans="1:7" ht="15" x14ac:dyDescent="0.2">
      <c r="A62" s="29"/>
      <c r="B62" s="29"/>
      <c r="C62" s="29"/>
      <c r="D62" s="29"/>
      <c r="E62" s="29"/>
      <c r="F62" s="29"/>
      <c r="G62" s="29"/>
    </row>
    <row r="63" spans="1:7" ht="15" x14ac:dyDescent="0.2">
      <c r="A63" s="29"/>
      <c r="B63" s="29"/>
      <c r="C63" s="29"/>
      <c r="D63" s="29"/>
      <c r="E63" s="29"/>
      <c r="F63" s="29"/>
      <c r="G63" s="29"/>
    </row>
    <row r="64" spans="1:7" ht="15" x14ac:dyDescent="0.2">
      <c r="A64" s="29"/>
      <c r="B64" s="29"/>
      <c r="C64" s="29"/>
      <c r="D64" s="29"/>
      <c r="E64" s="29"/>
      <c r="F64" s="29"/>
      <c r="G64" s="29"/>
    </row>
    <row r="65" spans="1:7" ht="15" x14ac:dyDescent="0.2">
      <c r="A65" s="29"/>
      <c r="B65" s="29"/>
      <c r="C65" s="29"/>
      <c r="D65" s="29"/>
      <c r="E65" s="29"/>
      <c r="F65" s="29"/>
      <c r="G65" s="29"/>
    </row>
    <row r="66" spans="1:7" ht="15" x14ac:dyDescent="0.2">
      <c r="A66" s="29"/>
      <c r="B66" s="29"/>
      <c r="C66" s="29"/>
      <c r="D66" s="29"/>
      <c r="E66" s="29"/>
      <c r="F66" s="29"/>
      <c r="G66" s="29"/>
    </row>
    <row r="67" spans="1:7" ht="15" x14ac:dyDescent="0.2">
      <c r="A67" s="29"/>
      <c r="B67" s="29"/>
      <c r="C67" s="29"/>
      <c r="D67" s="29"/>
      <c r="E67" s="29"/>
      <c r="F67" s="29"/>
      <c r="G67" s="29"/>
    </row>
    <row r="68" spans="1:7" ht="15" x14ac:dyDescent="0.2">
      <c r="A68" s="29"/>
      <c r="B68" s="29"/>
      <c r="C68" s="29"/>
      <c r="D68" s="29"/>
      <c r="E68" s="29"/>
      <c r="F68" s="29"/>
      <c r="G68" s="29"/>
    </row>
    <row r="69" spans="1:7" ht="15" x14ac:dyDescent="0.2">
      <c r="A69" s="29"/>
      <c r="B69" s="29"/>
      <c r="C69" s="29"/>
      <c r="D69" s="29"/>
      <c r="E69" s="29"/>
      <c r="F69" s="29"/>
      <c r="G69" s="29"/>
    </row>
    <row r="70" spans="1:7" ht="15" x14ac:dyDescent="0.2">
      <c r="A70" s="29"/>
      <c r="B70" s="29"/>
      <c r="C70" s="29"/>
      <c r="D70" s="29"/>
      <c r="E70" s="29"/>
      <c r="F70" s="29"/>
      <c r="G70" s="29"/>
    </row>
    <row r="71" spans="1:7" ht="15" x14ac:dyDescent="0.2">
      <c r="A71" s="29"/>
      <c r="B71" s="29"/>
      <c r="C71" s="29"/>
      <c r="D71" s="29"/>
      <c r="E71" s="29"/>
      <c r="F71" s="29"/>
      <c r="G71" s="29"/>
    </row>
    <row r="72" spans="1:7" ht="15" x14ac:dyDescent="0.2">
      <c r="A72" s="29"/>
      <c r="B72" s="29"/>
      <c r="C72" s="29"/>
      <c r="D72" s="29"/>
      <c r="E72" s="29"/>
      <c r="F72" s="29"/>
      <c r="G72" s="29"/>
    </row>
    <row r="73" spans="1:7" ht="15" x14ac:dyDescent="0.2">
      <c r="A73" s="29"/>
      <c r="B73" s="29"/>
      <c r="C73" s="29"/>
      <c r="D73" s="29"/>
      <c r="E73" s="29"/>
      <c r="F73" s="29"/>
      <c r="G73" s="29"/>
    </row>
  </sheetData>
  <mergeCells count="4">
    <mergeCell ref="A1:D1"/>
    <mergeCell ref="A2:C2"/>
    <mergeCell ref="H1:K1"/>
    <mergeCell ref="H2:J2"/>
  </mergeCells>
  <pageMargins left="0.7" right="0.7" top="0.75" bottom="0.75" header="0.3" footer="0.3"/>
  <pageSetup scale="8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234B-C343-4846-8F85-897D46049AA2}">
  <sheetPr>
    <tabColor theme="3"/>
    <pageSetUpPr fitToPage="1"/>
  </sheetPr>
  <dimension ref="A1:I51"/>
  <sheetViews>
    <sheetView zoomScaleNormal="100" workbookViewId="0">
      <selection activeCell="B4" sqref="B4"/>
    </sheetView>
  </sheetViews>
  <sheetFormatPr defaultRowHeight="15" x14ac:dyDescent="0.2"/>
  <cols>
    <col min="1" max="1" width="72.125" style="1" customWidth="1"/>
    <col min="2" max="2" width="15.625" style="2" customWidth="1"/>
    <col min="3" max="3" width="24.5" style="1" customWidth="1"/>
    <col min="4" max="16384" width="9" style="1"/>
  </cols>
  <sheetData>
    <row r="1" spans="1:9" ht="21" x14ac:dyDescent="0.2">
      <c r="A1" s="18" t="s">
        <v>22</v>
      </c>
      <c r="B1" s="5"/>
      <c r="C1" s="18"/>
    </row>
    <row r="2" spans="1:9" ht="18.75" x14ac:dyDescent="0.2">
      <c r="A2" s="17" t="s">
        <v>19</v>
      </c>
      <c r="B2" s="5"/>
    </row>
    <row r="3" spans="1:9" x14ac:dyDescent="0.2">
      <c r="A3" s="58" t="s">
        <v>27</v>
      </c>
      <c r="B3" s="58"/>
    </row>
    <row r="4" spans="1:9" x14ac:dyDescent="0.2">
      <c r="A4" s="3" t="s">
        <v>43</v>
      </c>
      <c r="B4" s="20">
        <v>0</v>
      </c>
      <c r="D4" s="62" t="s">
        <v>40</v>
      </c>
      <c r="E4" s="62"/>
      <c r="F4" s="62"/>
      <c r="G4" s="62"/>
      <c r="H4" s="62"/>
      <c r="I4" s="62"/>
    </row>
    <row r="5" spans="1:9" x14ac:dyDescent="0.2">
      <c r="A5" s="9" t="s">
        <v>46</v>
      </c>
      <c r="B5" s="15">
        <f>'Seasonal Salary Cap Calc'!D33</f>
        <v>0</v>
      </c>
      <c r="C5" s="1" t="s">
        <v>33</v>
      </c>
      <c r="D5" s="62"/>
      <c r="E5" s="62"/>
      <c r="F5" s="62"/>
      <c r="G5" s="62"/>
      <c r="H5" s="62"/>
      <c r="I5" s="62"/>
    </row>
    <row r="6" spans="1:9" x14ac:dyDescent="0.2">
      <c r="A6" s="9" t="s">
        <v>36</v>
      </c>
      <c r="B6" s="21">
        <v>0</v>
      </c>
      <c r="C6" s="1" t="s">
        <v>16</v>
      </c>
      <c r="D6" s="62"/>
      <c r="E6" s="62"/>
      <c r="F6" s="62"/>
      <c r="G6" s="62"/>
      <c r="H6" s="62"/>
      <c r="I6" s="62"/>
    </row>
    <row r="7" spans="1:9" x14ac:dyDescent="0.2">
      <c r="A7" s="9" t="s">
        <v>45</v>
      </c>
      <c r="B7" s="21">
        <v>0</v>
      </c>
      <c r="C7" s="1" t="s">
        <v>16</v>
      </c>
      <c r="D7" s="62"/>
      <c r="E7" s="62"/>
      <c r="F7" s="62"/>
      <c r="G7" s="62"/>
      <c r="H7" s="62"/>
      <c r="I7" s="62"/>
    </row>
    <row r="8" spans="1:9" x14ac:dyDescent="0.2">
      <c r="A8" s="3" t="s">
        <v>37</v>
      </c>
      <c r="B8" s="21">
        <v>0</v>
      </c>
      <c r="D8" s="62"/>
      <c r="E8" s="62"/>
      <c r="F8" s="62"/>
      <c r="G8" s="62"/>
      <c r="H8" s="62"/>
      <c r="I8" s="62"/>
    </row>
    <row r="9" spans="1:9" x14ac:dyDescent="0.2">
      <c r="A9" s="3" t="s">
        <v>35</v>
      </c>
      <c r="B9" s="21">
        <v>0</v>
      </c>
      <c r="D9" s="62"/>
      <c r="E9" s="62"/>
      <c r="F9" s="62"/>
      <c r="G9" s="62"/>
      <c r="H9" s="62"/>
      <c r="I9" s="62"/>
    </row>
    <row r="10" spans="1:9" x14ac:dyDescent="0.2">
      <c r="A10" s="3" t="s">
        <v>39</v>
      </c>
      <c r="B10" s="46">
        <v>0</v>
      </c>
      <c r="D10" s="62"/>
      <c r="E10" s="62"/>
      <c r="F10" s="62"/>
      <c r="G10" s="62"/>
      <c r="H10" s="62"/>
      <c r="I10" s="62"/>
    </row>
    <row r="11" spans="1:9" x14ac:dyDescent="0.2">
      <c r="A11" s="3" t="s">
        <v>21</v>
      </c>
      <c r="B11" s="14">
        <f>MAX(0,B4-B5-B6-B7+B8+B9+B10)</f>
        <v>0</v>
      </c>
      <c r="D11" s="62"/>
      <c r="E11" s="62"/>
      <c r="F11" s="62"/>
      <c r="G11" s="62"/>
      <c r="H11" s="62"/>
      <c r="I11" s="62"/>
    </row>
    <row r="12" spans="1:9" s="13" customFormat="1" x14ac:dyDescent="0.2">
      <c r="A12" s="6"/>
      <c r="B12" s="5"/>
    </row>
    <row r="13" spans="1:9" x14ac:dyDescent="0.2">
      <c r="A13" s="3" t="s">
        <v>20</v>
      </c>
      <c r="B13" s="50">
        <f>+B11/12*4</f>
        <v>0</v>
      </c>
    </row>
    <row r="14" spans="1:9" x14ac:dyDescent="0.2">
      <c r="A14" s="3"/>
      <c r="B14" s="4"/>
    </row>
    <row r="15" spans="1:9" x14ac:dyDescent="0.2">
      <c r="A15" s="3" t="s">
        <v>38</v>
      </c>
      <c r="B15" s="49">
        <v>2.5</v>
      </c>
    </row>
    <row r="16" spans="1:9" x14ac:dyDescent="0.2">
      <c r="A16" s="3"/>
      <c r="B16" s="55"/>
    </row>
    <row r="17" spans="1:3" x14ac:dyDescent="0.2">
      <c r="A17" s="56" t="s">
        <v>42</v>
      </c>
      <c r="B17" s="55"/>
    </row>
    <row r="18" spans="1:3" x14ac:dyDescent="0.2">
      <c r="A18" s="3"/>
      <c r="B18" s="55"/>
    </row>
    <row r="19" spans="1:3" ht="15.75" thickBot="1" x14ac:dyDescent="0.25">
      <c r="A19" s="6" t="s">
        <v>19</v>
      </c>
      <c r="B19" s="51">
        <f>MIN(B13*B15,10000000)</f>
        <v>0</v>
      </c>
    </row>
    <row r="20" spans="1:3" ht="15.75" thickTop="1" x14ac:dyDescent="0.2">
      <c r="A20" s="6"/>
      <c r="B20" s="5"/>
    </row>
    <row r="21" spans="1:3" x14ac:dyDescent="0.2">
      <c r="A21" s="6"/>
      <c r="B21" s="5"/>
    </row>
    <row r="22" spans="1:3" ht="18.75" x14ac:dyDescent="0.2">
      <c r="A22" s="17" t="s">
        <v>18</v>
      </c>
      <c r="B22" s="5"/>
    </row>
    <row r="23" spans="1:3" x14ac:dyDescent="0.2">
      <c r="A23" s="16" t="s">
        <v>17</v>
      </c>
      <c r="B23" s="4"/>
    </row>
    <row r="24" spans="1:3" x14ac:dyDescent="0.2">
      <c r="A24" s="3" t="s">
        <v>43</v>
      </c>
      <c r="B24" s="22">
        <v>0</v>
      </c>
    </row>
    <row r="25" spans="1:3" x14ac:dyDescent="0.2">
      <c r="A25" s="9" t="s">
        <v>46</v>
      </c>
      <c r="B25" s="15">
        <f>'Seasonal Salary Cap Calc'!K33</f>
        <v>0</v>
      </c>
      <c r="C25" s="1" t="s">
        <v>33</v>
      </c>
    </row>
    <row r="26" spans="1:3" x14ac:dyDescent="0.2">
      <c r="A26" s="9" t="s">
        <v>36</v>
      </c>
      <c r="B26" s="23">
        <v>0</v>
      </c>
      <c r="C26" s="1" t="s">
        <v>16</v>
      </c>
    </row>
    <row r="27" spans="1:3" x14ac:dyDescent="0.2">
      <c r="A27" s="9" t="s">
        <v>45</v>
      </c>
      <c r="B27" s="23">
        <v>0</v>
      </c>
      <c r="C27" s="1" t="s">
        <v>16</v>
      </c>
    </row>
    <row r="28" spans="1:3" x14ac:dyDescent="0.2">
      <c r="A28" s="3" t="s">
        <v>37</v>
      </c>
      <c r="B28" s="23">
        <v>0</v>
      </c>
    </row>
    <row r="29" spans="1:3" x14ac:dyDescent="0.2">
      <c r="A29" s="3" t="s">
        <v>35</v>
      </c>
      <c r="B29" s="23">
        <v>0</v>
      </c>
    </row>
    <row r="30" spans="1:3" x14ac:dyDescent="0.2">
      <c r="A30" s="3" t="s">
        <v>39</v>
      </c>
      <c r="B30" s="23">
        <v>0</v>
      </c>
    </row>
    <row r="31" spans="1:3" x14ac:dyDescent="0.2">
      <c r="A31" s="3" t="s">
        <v>15</v>
      </c>
      <c r="B31" s="23">
        <v>0</v>
      </c>
      <c r="C31" s="60" t="s">
        <v>48</v>
      </c>
    </row>
    <row r="32" spans="1:3" x14ac:dyDescent="0.2">
      <c r="A32" s="3" t="s">
        <v>14</v>
      </c>
      <c r="B32" s="23">
        <v>0</v>
      </c>
      <c r="C32" s="60"/>
    </row>
    <row r="33" spans="1:6" x14ac:dyDescent="0.2">
      <c r="A33" s="3" t="s">
        <v>13</v>
      </c>
      <c r="B33" s="47">
        <v>0</v>
      </c>
      <c r="C33" s="60"/>
    </row>
    <row r="34" spans="1:6" x14ac:dyDescent="0.2">
      <c r="A34" s="3" t="s">
        <v>12</v>
      </c>
      <c r="B34" s="14">
        <f>MAX(0,B24-B25-B26-B27+B28+B29+B30+B31+B32+B33)</f>
        <v>0</v>
      </c>
    </row>
    <row r="35" spans="1:6" x14ac:dyDescent="0.2">
      <c r="A35" s="3"/>
      <c r="B35" s="4"/>
    </row>
    <row r="36" spans="1:6" x14ac:dyDescent="0.2">
      <c r="A36" s="3" t="s">
        <v>11</v>
      </c>
      <c r="B36" s="14">
        <f>B19</f>
        <v>0</v>
      </c>
    </row>
    <row r="37" spans="1:6" x14ac:dyDescent="0.2">
      <c r="A37" s="3"/>
      <c r="B37" s="4"/>
    </row>
    <row r="38" spans="1:6" s="13" customFormat="1" x14ac:dyDescent="0.2">
      <c r="A38" s="6" t="s">
        <v>10</v>
      </c>
      <c r="B38" s="53">
        <f>MIN(B34,B36)</f>
        <v>0</v>
      </c>
    </row>
    <row r="39" spans="1:6" x14ac:dyDescent="0.2">
      <c r="A39" s="3"/>
      <c r="B39" s="4"/>
    </row>
    <row r="40" spans="1:6" x14ac:dyDescent="0.2">
      <c r="A40" s="9" t="s">
        <v>9</v>
      </c>
      <c r="B40" s="23">
        <v>0</v>
      </c>
    </row>
    <row r="41" spans="1:6" x14ac:dyDescent="0.2">
      <c r="A41" s="9" t="s">
        <v>8</v>
      </c>
      <c r="B41" s="23">
        <v>0</v>
      </c>
      <c r="E41" s="12"/>
      <c r="F41" s="11"/>
    </row>
    <row r="42" spans="1:6" x14ac:dyDescent="0.2">
      <c r="A42" s="9"/>
      <c r="B42" s="10"/>
    </row>
    <row r="43" spans="1:6" x14ac:dyDescent="0.2">
      <c r="A43" s="9" t="s">
        <v>7</v>
      </c>
      <c r="B43" s="23">
        <v>0</v>
      </c>
    </row>
    <row r="44" spans="1:6" x14ac:dyDescent="0.2">
      <c r="A44" s="3"/>
      <c r="B44" s="4"/>
    </row>
    <row r="45" spans="1:6" x14ac:dyDescent="0.2">
      <c r="A45" s="3" t="s">
        <v>4</v>
      </c>
      <c r="B45" s="52">
        <f>IF(B41&gt;=B43,1,B40/B43)</f>
        <v>1</v>
      </c>
    </row>
    <row r="46" spans="1:6" x14ac:dyDescent="0.2">
      <c r="A46" s="3"/>
      <c r="B46" s="4"/>
    </row>
    <row r="47" spans="1:6" ht="15.75" thickBot="1" x14ac:dyDescent="0.25">
      <c r="A47" s="6" t="s">
        <v>3</v>
      </c>
      <c r="B47" s="51">
        <f>MIN(B38,B19*B45)</f>
        <v>0</v>
      </c>
    </row>
    <row r="48" spans="1:6" ht="15.75" thickTop="1" x14ac:dyDescent="0.2">
      <c r="A48" s="6"/>
      <c r="B48" s="5"/>
    </row>
    <row r="49" spans="1:3" x14ac:dyDescent="0.2">
      <c r="A49" s="6" t="s">
        <v>44</v>
      </c>
      <c r="B49" s="7">
        <f>+B19-B47</f>
        <v>0</v>
      </c>
    </row>
    <row r="50" spans="1:3" x14ac:dyDescent="0.2">
      <c r="A50" s="6"/>
      <c r="B50" s="5"/>
    </row>
    <row r="51" spans="1:3" x14ac:dyDescent="0.2">
      <c r="A51" s="3"/>
      <c r="B51" s="4"/>
      <c r="C51" s="3"/>
    </row>
  </sheetData>
  <sheetProtection algorithmName="SHA-512" hashValue="VQaBN6cxyjeiIaeLZ63LCpLCAiJ0EWQbUNv+EjkF/SnRHEtvdcF17x2KpJqDTnTsrTpg1ECNft+RZmdGD1WR5g==" saltValue="KlVOffIG88ihMWL4la7s/A==" spinCount="100000" sheet="1" objects="1" scenarios="1"/>
  <mergeCells count="3">
    <mergeCell ref="A3:B3"/>
    <mergeCell ref="D4:I11"/>
    <mergeCell ref="C31:C33"/>
  </mergeCells>
  <pageMargins left="0.7" right="0.7" top="0.75" bottom="0.75" header="0.3" footer="0.3"/>
  <pageSetup scale="7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4AC6-AA06-4141-B5EC-BC86331E7798}">
  <sheetPr>
    <tabColor theme="3"/>
    <pageSetUpPr fitToPage="1"/>
  </sheetPr>
  <dimension ref="A1:C33"/>
  <sheetViews>
    <sheetView workbookViewId="0">
      <selection activeCell="B4" sqref="B4"/>
    </sheetView>
  </sheetViews>
  <sheetFormatPr defaultRowHeight="15" x14ac:dyDescent="0.2"/>
  <cols>
    <col min="1" max="1" width="64.25" style="1" customWidth="1"/>
    <col min="2" max="2" width="15.625" style="2" customWidth="1"/>
    <col min="3" max="3" width="24" style="1" bestFit="1" customWidth="1"/>
    <col min="4" max="16384" width="9" style="1"/>
  </cols>
  <sheetData>
    <row r="1" spans="1:3" ht="21" x14ac:dyDescent="0.2">
      <c r="A1" s="18" t="s">
        <v>22</v>
      </c>
      <c r="B1" s="5"/>
      <c r="C1" s="18"/>
    </row>
    <row r="2" spans="1:3" ht="18.75" x14ac:dyDescent="0.2">
      <c r="A2" s="17" t="s">
        <v>19</v>
      </c>
      <c r="B2" s="5"/>
    </row>
    <row r="3" spans="1:3" ht="15" customHeight="1" x14ac:dyDescent="0.2">
      <c r="A3" s="58" t="s">
        <v>27</v>
      </c>
      <c r="B3" s="58"/>
    </row>
    <row r="4" spans="1:3" x14ac:dyDescent="0.2">
      <c r="A4" s="3" t="s">
        <v>24</v>
      </c>
      <c r="B4" s="20">
        <v>0</v>
      </c>
    </row>
    <row r="5" spans="1:3" x14ac:dyDescent="0.2">
      <c r="A5" s="9" t="s">
        <v>23</v>
      </c>
      <c r="B5" s="54">
        <f>'Seasonal Salary Cap Calc'!D33</f>
        <v>0</v>
      </c>
      <c r="C5" s="1" t="s">
        <v>33</v>
      </c>
    </row>
    <row r="6" spans="1:3" x14ac:dyDescent="0.2">
      <c r="A6" s="3" t="s">
        <v>21</v>
      </c>
      <c r="B6" s="14">
        <f>MAX(0,B4-B5)</f>
        <v>0</v>
      </c>
    </row>
    <row r="7" spans="1:3" s="13" customFormat="1" x14ac:dyDescent="0.2">
      <c r="A7" s="6"/>
      <c r="B7" s="5"/>
    </row>
    <row r="8" spans="1:3" x14ac:dyDescent="0.2">
      <c r="A8" s="3" t="s">
        <v>20</v>
      </c>
      <c r="B8" s="50">
        <f>+B6/12*4</f>
        <v>0</v>
      </c>
    </row>
    <row r="9" spans="1:3" x14ac:dyDescent="0.2">
      <c r="A9" s="3"/>
      <c r="B9" s="4"/>
    </row>
    <row r="10" spans="1:3" x14ac:dyDescent="0.2">
      <c r="A10" s="3" t="s">
        <v>38</v>
      </c>
      <c r="B10" s="49">
        <v>2.5</v>
      </c>
    </row>
    <row r="11" spans="1:3" x14ac:dyDescent="0.2">
      <c r="A11" s="3"/>
      <c r="B11" s="55"/>
    </row>
    <row r="12" spans="1:3" x14ac:dyDescent="0.2">
      <c r="A12" s="56" t="s">
        <v>42</v>
      </c>
      <c r="B12" s="55"/>
    </row>
    <row r="13" spans="1:3" x14ac:dyDescent="0.2">
      <c r="A13" s="3"/>
      <c r="B13" s="55"/>
    </row>
    <row r="14" spans="1:3" ht="15.75" thickBot="1" x14ac:dyDescent="0.25">
      <c r="A14" s="6" t="s">
        <v>19</v>
      </c>
      <c r="B14" s="48">
        <f>MIN(B8*B10,10000000)</f>
        <v>0</v>
      </c>
    </row>
    <row r="15" spans="1:3" ht="15.75" thickTop="1" x14ac:dyDescent="0.2">
      <c r="A15" s="6"/>
      <c r="B15" s="5"/>
    </row>
    <row r="16" spans="1:3" x14ac:dyDescent="0.2">
      <c r="A16" s="6"/>
      <c r="B16" s="5"/>
    </row>
    <row r="17" spans="1:3" ht="18.75" x14ac:dyDescent="0.2">
      <c r="A17" s="17" t="s">
        <v>18</v>
      </c>
      <c r="B17" s="5"/>
    </row>
    <row r="18" spans="1:3" x14ac:dyDescent="0.2">
      <c r="A18" s="16" t="s">
        <v>17</v>
      </c>
      <c r="B18" s="4"/>
    </row>
    <row r="19" spans="1:3" x14ac:dyDescent="0.2">
      <c r="A19" s="3" t="s">
        <v>24</v>
      </c>
      <c r="B19" s="22">
        <v>0</v>
      </c>
    </row>
    <row r="20" spans="1:3" x14ac:dyDescent="0.2">
      <c r="A20" s="9" t="s">
        <v>23</v>
      </c>
      <c r="B20" s="15">
        <f>'Seasonal Salary Cap Calc'!K33</f>
        <v>0</v>
      </c>
      <c r="C20" s="1" t="s">
        <v>33</v>
      </c>
    </row>
    <row r="21" spans="1:3" x14ac:dyDescent="0.2">
      <c r="A21" s="3" t="s">
        <v>15</v>
      </c>
      <c r="B21" s="23">
        <v>0</v>
      </c>
      <c r="C21" s="60" t="s">
        <v>48</v>
      </c>
    </row>
    <row r="22" spans="1:3" x14ac:dyDescent="0.2">
      <c r="A22" s="3" t="s">
        <v>14</v>
      </c>
      <c r="B22" s="23">
        <v>0</v>
      </c>
      <c r="C22" s="60"/>
    </row>
    <row r="23" spans="1:3" x14ac:dyDescent="0.2">
      <c r="A23" s="3" t="s">
        <v>13</v>
      </c>
      <c r="B23" s="47">
        <v>0</v>
      </c>
      <c r="C23" s="60"/>
    </row>
    <row r="24" spans="1:3" x14ac:dyDescent="0.2">
      <c r="A24" s="3" t="s">
        <v>12</v>
      </c>
      <c r="B24" s="14">
        <f>MAX(0,B19-B20+B21+B22+B23)</f>
        <v>0</v>
      </c>
    </row>
    <row r="25" spans="1:3" x14ac:dyDescent="0.2">
      <c r="A25" s="3"/>
      <c r="B25" s="4"/>
    </row>
    <row r="26" spans="1:3" x14ac:dyDescent="0.2">
      <c r="A26" s="3" t="s">
        <v>11</v>
      </c>
      <c r="B26" s="14">
        <f>B14</f>
        <v>0</v>
      </c>
    </row>
    <row r="27" spans="1:3" x14ac:dyDescent="0.2">
      <c r="A27" s="3"/>
      <c r="B27" s="4"/>
    </row>
    <row r="28" spans="1:3" s="13" customFormat="1" ht="15.75" thickBot="1" x14ac:dyDescent="0.25">
      <c r="A28" s="6" t="s">
        <v>10</v>
      </c>
      <c r="B28" s="51">
        <f>MIN(B24,B26)</f>
        <v>0</v>
      </c>
    </row>
    <row r="29" spans="1:3" ht="15.75" thickTop="1" x14ac:dyDescent="0.2">
      <c r="A29" s="3"/>
      <c r="B29" s="4"/>
    </row>
    <row r="30" spans="1:3" x14ac:dyDescent="0.2">
      <c r="A30" s="6"/>
      <c r="B30" s="5"/>
    </row>
    <row r="31" spans="1:3" x14ac:dyDescent="0.2">
      <c r="A31" s="6" t="s">
        <v>44</v>
      </c>
      <c r="B31" s="7">
        <f>+B14-B28</f>
        <v>0</v>
      </c>
    </row>
    <row r="32" spans="1:3" x14ac:dyDescent="0.2">
      <c r="A32" s="6"/>
      <c r="B32" s="5"/>
    </row>
    <row r="33" spans="1:3" x14ac:dyDescent="0.2">
      <c r="A33" s="3"/>
      <c r="B33" s="4"/>
      <c r="C33" s="3"/>
    </row>
  </sheetData>
  <sheetProtection algorithmName="SHA-512" hashValue="0wkzmKGDC2kXsKjkakun1WVBwgTo+CL7031/K+fZNOxqooDyF+xIw3dIxvD3Lvur0XmuC7h9O6I6EED449Zq+g==" saltValue="qtAOeMH6qc3WqIIAcoF66A==" spinCount="100000" sheet="1" objects="1" scenarios="1"/>
  <mergeCells count="2">
    <mergeCell ref="A3:B3"/>
    <mergeCell ref="C21:C23"/>
  </mergeCells>
  <pageMargins left="0.7" right="0.7" top="0.75" bottom="0.75" header="0.3" footer="0.3"/>
  <pageSetup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1DFB2-F5B3-40AE-AD06-2009D0BC0963}">
  <sheetPr>
    <tabColor theme="3"/>
    <pageSetUpPr fitToPage="1"/>
  </sheetPr>
  <dimension ref="A1:K73"/>
  <sheetViews>
    <sheetView workbookViewId="0">
      <selection activeCell="A4" sqref="A4"/>
    </sheetView>
  </sheetViews>
  <sheetFormatPr defaultRowHeight="12.75" x14ac:dyDescent="0.2"/>
  <cols>
    <col min="1" max="1" width="49.5" style="1" customWidth="1"/>
    <col min="2" max="2" width="1.125" style="1" customWidth="1"/>
    <col min="3" max="3" width="26.5" style="1" customWidth="1"/>
    <col min="4" max="4" width="25.625" style="1" customWidth="1"/>
    <col min="5" max="7" width="6.625" style="1" customWidth="1"/>
    <col min="8" max="8" width="53.375" style="1" customWidth="1"/>
    <col min="9" max="9" width="1.125" style="1" customWidth="1"/>
    <col min="10" max="10" width="26.375" style="1" customWidth="1"/>
    <col min="11" max="11" width="25.625" style="1" customWidth="1"/>
    <col min="12" max="16384" width="9" style="1"/>
  </cols>
  <sheetData>
    <row r="1" spans="1:11" ht="42.75" customHeight="1" x14ac:dyDescent="0.2">
      <c r="A1" s="61" t="s">
        <v>49</v>
      </c>
      <c r="B1" s="61"/>
      <c r="C1" s="61"/>
      <c r="D1" s="61"/>
      <c r="F1" s="28"/>
      <c r="H1" s="61" t="s">
        <v>50</v>
      </c>
      <c r="I1" s="61"/>
      <c r="J1" s="61"/>
      <c r="K1" s="61"/>
    </row>
    <row r="2" spans="1:11" ht="15" customHeight="1" x14ac:dyDescent="0.2">
      <c r="A2" s="58" t="s">
        <v>27</v>
      </c>
      <c r="B2" s="58"/>
      <c r="C2" s="58"/>
      <c r="D2" s="58"/>
      <c r="E2" s="29"/>
      <c r="F2" s="30"/>
      <c r="G2" s="29"/>
      <c r="H2" s="58" t="s">
        <v>28</v>
      </c>
      <c r="I2" s="58"/>
      <c r="J2" s="58"/>
      <c r="K2" s="29"/>
    </row>
    <row r="3" spans="1:11" s="43" customFormat="1" ht="31.5" x14ac:dyDescent="0.25">
      <c r="A3" s="41" t="s">
        <v>25</v>
      </c>
      <c r="B3" s="41"/>
      <c r="C3" s="42" t="s">
        <v>58</v>
      </c>
      <c r="D3" s="42" t="s">
        <v>54</v>
      </c>
      <c r="F3" s="44"/>
      <c r="H3" s="41" t="s">
        <v>25</v>
      </c>
      <c r="I3" s="41"/>
      <c r="J3" s="42" t="s">
        <v>57</v>
      </c>
      <c r="K3" s="42" t="s">
        <v>52</v>
      </c>
    </row>
    <row r="4" spans="1:11" ht="15" x14ac:dyDescent="0.2">
      <c r="A4" s="26"/>
      <c r="B4" s="19"/>
      <c r="C4" s="27">
        <v>0</v>
      </c>
      <c r="D4" s="35">
        <f t="shared" ref="D4:D31" si="0">MAX(C4-((100000/52)*12), 0)</f>
        <v>0</v>
      </c>
      <c r="E4" s="29"/>
      <c r="F4" s="30"/>
      <c r="G4" s="29"/>
      <c r="H4" s="24"/>
      <c r="I4" s="19"/>
      <c r="J4" s="25">
        <v>0</v>
      </c>
      <c r="K4" s="35">
        <f t="shared" ref="K4:K31" si="1">MAX(J4-((100000/52)*8), 0)</f>
        <v>0</v>
      </c>
    </row>
    <row r="5" spans="1:11" ht="15" x14ac:dyDescent="0.2">
      <c r="A5" s="26"/>
      <c r="B5" s="19"/>
      <c r="C5" s="26">
        <v>0</v>
      </c>
      <c r="D5" s="37">
        <f t="shared" si="0"/>
        <v>0</v>
      </c>
      <c r="E5" s="29"/>
      <c r="F5" s="30"/>
      <c r="G5" s="29"/>
      <c r="H5" s="24"/>
      <c r="I5" s="19"/>
      <c r="J5" s="24">
        <v>0</v>
      </c>
      <c r="K5" s="37">
        <f t="shared" si="1"/>
        <v>0</v>
      </c>
    </row>
    <row r="6" spans="1:11" ht="15" x14ac:dyDescent="0.2">
      <c r="A6" s="26"/>
      <c r="B6" s="19"/>
      <c r="C6" s="26">
        <v>0</v>
      </c>
      <c r="D6" s="37">
        <f t="shared" si="0"/>
        <v>0</v>
      </c>
      <c r="E6" s="29"/>
      <c r="F6" s="30"/>
      <c r="G6" s="29"/>
      <c r="H6" s="24"/>
      <c r="I6" s="19"/>
      <c r="J6" s="24">
        <v>0</v>
      </c>
      <c r="K6" s="37">
        <f t="shared" si="1"/>
        <v>0</v>
      </c>
    </row>
    <row r="7" spans="1:11" ht="15" x14ac:dyDescent="0.2">
      <c r="A7" s="26"/>
      <c r="B7" s="19"/>
      <c r="C7" s="26">
        <v>0</v>
      </c>
      <c r="D7" s="37">
        <f t="shared" si="0"/>
        <v>0</v>
      </c>
      <c r="E7" s="29"/>
      <c r="F7" s="30"/>
      <c r="G7" s="29"/>
      <c r="H7" s="24"/>
      <c r="I7" s="19"/>
      <c r="J7" s="24">
        <v>0</v>
      </c>
      <c r="K7" s="37">
        <f t="shared" si="1"/>
        <v>0</v>
      </c>
    </row>
    <row r="8" spans="1:11" ht="15" x14ac:dyDescent="0.2">
      <c r="A8" s="26"/>
      <c r="B8" s="19"/>
      <c r="C8" s="26">
        <v>0</v>
      </c>
      <c r="D8" s="37">
        <f t="shared" si="0"/>
        <v>0</v>
      </c>
      <c r="E8" s="29"/>
      <c r="F8" s="30"/>
      <c r="G8" s="29"/>
      <c r="H8" s="24"/>
      <c r="I8" s="19"/>
      <c r="J8" s="24">
        <v>0</v>
      </c>
      <c r="K8" s="37">
        <f t="shared" si="1"/>
        <v>0</v>
      </c>
    </row>
    <row r="9" spans="1:11" ht="15" x14ac:dyDescent="0.2">
      <c r="A9" s="26"/>
      <c r="B9" s="19"/>
      <c r="C9" s="26">
        <v>0</v>
      </c>
      <c r="D9" s="37">
        <f t="shared" si="0"/>
        <v>0</v>
      </c>
      <c r="E9" s="29"/>
      <c r="F9" s="30"/>
      <c r="G9" s="29"/>
      <c r="H9" s="24"/>
      <c r="I9" s="19"/>
      <c r="J9" s="24">
        <v>0</v>
      </c>
      <c r="K9" s="37">
        <f t="shared" si="1"/>
        <v>0</v>
      </c>
    </row>
    <row r="10" spans="1:11" ht="15" x14ac:dyDescent="0.2">
      <c r="A10" s="26"/>
      <c r="B10" s="19"/>
      <c r="C10" s="26">
        <v>0</v>
      </c>
      <c r="D10" s="37">
        <f t="shared" si="0"/>
        <v>0</v>
      </c>
      <c r="E10" s="29"/>
      <c r="F10" s="30"/>
      <c r="G10" s="29"/>
      <c r="H10" s="24"/>
      <c r="I10" s="19"/>
      <c r="J10" s="24">
        <v>0</v>
      </c>
      <c r="K10" s="37">
        <f t="shared" si="1"/>
        <v>0</v>
      </c>
    </row>
    <row r="11" spans="1:11" ht="15" x14ac:dyDescent="0.2">
      <c r="A11" s="26"/>
      <c r="B11" s="19"/>
      <c r="C11" s="26">
        <v>0</v>
      </c>
      <c r="D11" s="37">
        <f t="shared" si="0"/>
        <v>0</v>
      </c>
      <c r="E11" s="29"/>
      <c r="F11" s="30"/>
      <c r="G11" s="29"/>
      <c r="H11" s="24"/>
      <c r="I11" s="19"/>
      <c r="J11" s="24">
        <v>0</v>
      </c>
      <c r="K11" s="37">
        <f t="shared" si="1"/>
        <v>0</v>
      </c>
    </row>
    <row r="12" spans="1:11" ht="15" x14ac:dyDescent="0.2">
      <c r="A12" s="26"/>
      <c r="B12" s="19"/>
      <c r="C12" s="26">
        <v>0</v>
      </c>
      <c r="D12" s="37">
        <f t="shared" si="0"/>
        <v>0</v>
      </c>
      <c r="E12" s="29"/>
      <c r="F12" s="30"/>
      <c r="G12" s="29"/>
      <c r="H12" s="24"/>
      <c r="I12" s="19"/>
      <c r="J12" s="24">
        <v>0</v>
      </c>
      <c r="K12" s="37">
        <f t="shared" si="1"/>
        <v>0</v>
      </c>
    </row>
    <row r="13" spans="1:11" ht="15" x14ac:dyDescent="0.2">
      <c r="A13" s="26"/>
      <c r="B13" s="19"/>
      <c r="C13" s="26">
        <v>0</v>
      </c>
      <c r="D13" s="37">
        <f t="shared" si="0"/>
        <v>0</v>
      </c>
      <c r="E13" s="29"/>
      <c r="F13" s="30"/>
      <c r="G13" s="29"/>
      <c r="H13" s="24"/>
      <c r="I13" s="19"/>
      <c r="J13" s="24">
        <v>0</v>
      </c>
      <c r="K13" s="37">
        <f t="shared" si="1"/>
        <v>0</v>
      </c>
    </row>
    <row r="14" spans="1:11" ht="15" x14ac:dyDescent="0.2">
      <c r="A14" s="26"/>
      <c r="B14" s="19"/>
      <c r="C14" s="26">
        <v>0</v>
      </c>
      <c r="D14" s="37">
        <f t="shared" si="0"/>
        <v>0</v>
      </c>
      <c r="E14" s="29"/>
      <c r="F14" s="30"/>
      <c r="G14" s="29"/>
      <c r="H14" s="24"/>
      <c r="I14" s="19"/>
      <c r="J14" s="24">
        <v>0</v>
      </c>
      <c r="K14" s="37">
        <f t="shared" si="1"/>
        <v>0</v>
      </c>
    </row>
    <row r="15" spans="1:11" ht="15" x14ac:dyDescent="0.2">
      <c r="A15" s="26"/>
      <c r="B15" s="19"/>
      <c r="C15" s="26">
        <v>0</v>
      </c>
      <c r="D15" s="37">
        <f t="shared" si="0"/>
        <v>0</v>
      </c>
      <c r="E15" s="29"/>
      <c r="F15" s="30"/>
      <c r="G15" s="29"/>
      <c r="H15" s="24"/>
      <c r="I15" s="19"/>
      <c r="J15" s="24">
        <v>0</v>
      </c>
      <c r="K15" s="37">
        <f t="shared" si="1"/>
        <v>0</v>
      </c>
    </row>
    <row r="16" spans="1:11" ht="15" x14ac:dyDescent="0.2">
      <c r="A16" s="26"/>
      <c r="B16" s="19"/>
      <c r="C16" s="26">
        <v>0</v>
      </c>
      <c r="D16" s="37">
        <f t="shared" si="0"/>
        <v>0</v>
      </c>
      <c r="E16" s="29"/>
      <c r="F16" s="30"/>
      <c r="G16" s="29"/>
      <c r="H16" s="24"/>
      <c r="I16" s="19"/>
      <c r="J16" s="24">
        <v>0</v>
      </c>
      <c r="K16" s="37">
        <f t="shared" si="1"/>
        <v>0</v>
      </c>
    </row>
    <row r="17" spans="1:11" ht="15" x14ac:dyDescent="0.2">
      <c r="A17" s="26"/>
      <c r="B17" s="19"/>
      <c r="C17" s="26">
        <v>0</v>
      </c>
      <c r="D17" s="37">
        <f t="shared" si="0"/>
        <v>0</v>
      </c>
      <c r="E17" s="29"/>
      <c r="F17" s="30"/>
      <c r="G17" s="29"/>
      <c r="H17" s="24"/>
      <c r="I17" s="19"/>
      <c r="J17" s="24">
        <v>0</v>
      </c>
      <c r="K17" s="37">
        <f t="shared" si="1"/>
        <v>0</v>
      </c>
    </row>
    <row r="18" spans="1:11" ht="15" x14ac:dyDescent="0.2">
      <c r="A18" s="26"/>
      <c r="B18" s="19"/>
      <c r="C18" s="26">
        <v>0</v>
      </c>
      <c r="D18" s="37">
        <f t="shared" si="0"/>
        <v>0</v>
      </c>
      <c r="E18" s="29"/>
      <c r="F18" s="30"/>
      <c r="G18" s="29"/>
      <c r="H18" s="24"/>
      <c r="I18" s="19"/>
      <c r="J18" s="24">
        <v>0</v>
      </c>
      <c r="K18" s="37">
        <f t="shared" si="1"/>
        <v>0</v>
      </c>
    </row>
    <row r="19" spans="1:11" ht="15" x14ac:dyDescent="0.2">
      <c r="A19" s="26"/>
      <c r="B19" s="19"/>
      <c r="C19" s="26">
        <v>0</v>
      </c>
      <c r="D19" s="37">
        <f t="shared" si="0"/>
        <v>0</v>
      </c>
      <c r="E19" s="29"/>
      <c r="F19" s="30"/>
      <c r="G19" s="29"/>
      <c r="H19" s="24"/>
      <c r="I19" s="19"/>
      <c r="J19" s="24">
        <v>0</v>
      </c>
      <c r="K19" s="37">
        <f t="shared" si="1"/>
        <v>0</v>
      </c>
    </row>
    <row r="20" spans="1:11" ht="15" x14ac:dyDescent="0.2">
      <c r="A20" s="26"/>
      <c r="B20" s="19"/>
      <c r="C20" s="26">
        <v>0</v>
      </c>
      <c r="D20" s="37">
        <f t="shared" si="0"/>
        <v>0</v>
      </c>
      <c r="E20" s="29"/>
      <c r="F20" s="30"/>
      <c r="G20" s="29"/>
      <c r="H20" s="24"/>
      <c r="I20" s="19"/>
      <c r="J20" s="24">
        <v>0</v>
      </c>
      <c r="K20" s="37">
        <f t="shared" si="1"/>
        <v>0</v>
      </c>
    </row>
    <row r="21" spans="1:11" ht="15" x14ac:dyDescent="0.2">
      <c r="A21" s="26"/>
      <c r="B21" s="19"/>
      <c r="C21" s="26">
        <v>0</v>
      </c>
      <c r="D21" s="37">
        <f t="shared" si="0"/>
        <v>0</v>
      </c>
      <c r="E21" s="29"/>
      <c r="F21" s="30"/>
      <c r="G21" s="29"/>
      <c r="H21" s="24"/>
      <c r="I21" s="19"/>
      <c r="J21" s="24">
        <v>0</v>
      </c>
      <c r="K21" s="37">
        <f t="shared" si="1"/>
        <v>0</v>
      </c>
    </row>
    <row r="22" spans="1:11" ht="15" x14ac:dyDescent="0.2">
      <c r="A22" s="26"/>
      <c r="B22" s="19"/>
      <c r="C22" s="26">
        <v>0</v>
      </c>
      <c r="D22" s="37">
        <f t="shared" si="0"/>
        <v>0</v>
      </c>
      <c r="E22" s="29"/>
      <c r="F22" s="30"/>
      <c r="G22" s="29"/>
      <c r="H22" s="24"/>
      <c r="I22" s="19"/>
      <c r="J22" s="24">
        <v>0</v>
      </c>
      <c r="K22" s="37">
        <f t="shared" si="1"/>
        <v>0</v>
      </c>
    </row>
    <row r="23" spans="1:11" ht="15" x14ac:dyDescent="0.2">
      <c r="A23" s="26"/>
      <c r="B23" s="19"/>
      <c r="C23" s="26">
        <v>0</v>
      </c>
      <c r="D23" s="37">
        <f t="shared" si="0"/>
        <v>0</v>
      </c>
      <c r="E23" s="29"/>
      <c r="F23" s="30"/>
      <c r="G23" s="29"/>
      <c r="H23" s="24"/>
      <c r="I23" s="19"/>
      <c r="J23" s="24">
        <v>0</v>
      </c>
      <c r="K23" s="37">
        <f t="shared" si="1"/>
        <v>0</v>
      </c>
    </row>
    <row r="24" spans="1:11" ht="15" x14ac:dyDescent="0.2">
      <c r="A24" s="26"/>
      <c r="B24" s="19"/>
      <c r="C24" s="26">
        <v>0</v>
      </c>
      <c r="D24" s="37">
        <f t="shared" si="0"/>
        <v>0</v>
      </c>
      <c r="E24" s="29"/>
      <c r="F24" s="30"/>
      <c r="G24" s="29"/>
      <c r="H24" s="24"/>
      <c r="I24" s="19"/>
      <c r="J24" s="24">
        <v>0</v>
      </c>
      <c r="K24" s="37">
        <f t="shared" si="1"/>
        <v>0</v>
      </c>
    </row>
    <row r="25" spans="1:11" ht="15" x14ac:dyDescent="0.2">
      <c r="A25" s="26"/>
      <c r="B25" s="19"/>
      <c r="C25" s="26">
        <v>0</v>
      </c>
      <c r="D25" s="37">
        <f t="shared" si="0"/>
        <v>0</v>
      </c>
      <c r="E25" s="29"/>
      <c r="F25" s="30"/>
      <c r="G25" s="29"/>
      <c r="H25" s="24"/>
      <c r="I25" s="19"/>
      <c r="J25" s="24">
        <v>0</v>
      </c>
      <c r="K25" s="37">
        <f t="shared" si="1"/>
        <v>0</v>
      </c>
    </row>
    <row r="26" spans="1:11" ht="15" x14ac:dyDescent="0.2">
      <c r="A26" s="26"/>
      <c r="B26" s="19"/>
      <c r="C26" s="26">
        <v>0</v>
      </c>
      <c r="D26" s="37">
        <f t="shared" si="0"/>
        <v>0</v>
      </c>
      <c r="E26" s="29"/>
      <c r="F26" s="30"/>
      <c r="G26" s="29"/>
      <c r="H26" s="24"/>
      <c r="I26" s="19"/>
      <c r="J26" s="24">
        <v>0</v>
      </c>
      <c r="K26" s="37">
        <f t="shared" si="1"/>
        <v>0</v>
      </c>
    </row>
    <row r="27" spans="1:11" ht="15" x14ac:dyDescent="0.2">
      <c r="A27" s="26"/>
      <c r="B27" s="19"/>
      <c r="C27" s="26">
        <v>0</v>
      </c>
      <c r="D27" s="37">
        <f t="shared" si="0"/>
        <v>0</v>
      </c>
      <c r="E27" s="29"/>
      <c r="F27" s="30"/>
      <c r="G27" s="29"/>
      <c r="H27" s="24"/>
      <c r="I27" s="19"/>
      <c r="J27" s="24">
        <v>0</v>
      </c>
      <c r="K27" s="37">
        <f t="shared" si="1"/>
        <v>0</v>
      </c>
    </row>
    <row r="28" spans="1:11" ht="15" x14ac:dyDescent="0.2">
      <c r="A28" s="26"/>
      <c r="B28" s="19"/>
      <c r="C28" s="26">
        <v>0</v>
      </c>
      <c r="D28" s="37">
        <f t="shared" si="0"/>
        <v>0</v>
      </c>
      <c r="E28" s="29"/>
      <c r="F28" s="30"/>
      <c r="G28" s="29"/>
      <c r="H28" s="24"/>
      <c r="I28" s="19"/>
      <c r="J28" s="24">
        <v>0</v>
      </c>
      <c r="K28" s="37">
        <f t="shared" si="1"/>
        <v>0</v>
      </c>
    </row>
    <row r="29" spans="1:11" ht="15" x14ac:dyDescent="0.2">
      <c r="A29" s="26"/>
      <c r="B29" s="19"/>
      <c r="C29" s="26">
        <v>0</v>
      </c>
      <c r="D29" s="37">
        <f t="shared" si="0"/>
        <v>0</v>
      </c>
      <c r="E29" s="29"/>
      <c r="F29" s="30"/>
      <c r="G29" s="29"/>
      <c r="H29" s="24"/>
      <c r="I29" s="19"/>
      <c r="J29" s="24">
        <v>0</v>
      </c>
      <c r="K29" s="37">
        <f t="shared" si="1"/>
        <v>0</v>
      </c>
    </row>
    <row r="30" spans="1:11" ht="15" x14ac:dyDescent="0.2">
      <c r="A30" s="26"/>
      <c r="B30" s="19"/>
      <c r="C30" s="26">
        <v>0</v>
      </c>
      <c r="D30" s="37">
        <f t="shared" si="0"/>
        <v>0</v>
      </c>
      <c r="E30" s="29"/>
      <c r="F30" s="30"/>
      <c r="G30" s="29"/>
      <c r="H30" s="24"/>
      <c r="I30" s="19"/>
      <c r="J30" s="24">
        <v>0</v>
      </c>
      <c r="K30" s="37">
        <f t="shared" si="1"/>
        <v>0</v>
      </c>
    </row>
    <row r="31" spans="1:11" ht="17.25" x14ac:dyDescent="0.2">
      <c r="A31" s="26"/>
      <c r="B31" s="19"/>
      <c r="C31" s="26">
        <v>0</v>
      </c>
      <c r="D31" s="38">
        <f t="shared" si="0"/>
        <v>0</v>
      </c>
      <c r="E31" s="29"/>
      <c r="F31" s="30"/>
      <c r="G31" s="29"/>
      <c r="H31" s="24"/>
      <c r="I31" s="19"/>
      <c r="J31" s="24">
        <v>0</v>
      </c>
      <c r="K31" s="38">
        <f t="shared" si="1"/>
        <v>0</v>
      </c>
    </row>
    <row r="32" spans="1:11" ht="15" x14ac:dyDescent="0.2">
      <c r="A32" s="29"/>
      <c r="B32" s="29"/>
      <c r="C32" s="39"/>
      <c r="D32" s="37"/>
      <c r="E32" s="29"/>
      <c r="F32" s="30"/>
      <c r="G32" s="29"/>
      <c r="H32" s="29"/>
      <c r="I32" s="29"/>
      <c r="J32" s="39"/>
      <c r="K32" s="37"/>
    </row>
    <row r="33" spans="1:11" s="13" customFormat="1" ht="17.25" x14ac:dyDescent="0.2">
      <c r="A33" s="33" t="s">
        <v>53</v>
      </c>
      <c r="B33" s="33"/>
      <c r="C33" s="33"/>
      <c r="D33" s="40">
        <f>SUM(D4:D31)</f>
        <v>0</v>
      </c>
      <c r="E33" s="33"/>
      <c r="F33" s="34"/>
      <c r="G33" s="33"/>
      <c r="H33" s="33" t="s">
        <v>53</v>
      </c>
      <c r="I33" s="33"/>
      <c r="J33" s="33"/>
      <c r="K33" s="40">
        <f>SUM(K4:K31)</f>
        <v>0</v>
      </c>
    </row>
    <row r="34" spans="1:11" ht="15" x14ac:dyDescent="0.2">
      <c r="A34" s="29"/>
      <c r="B34" s="29"/>
      <c r="C34" s="29"/>
      <c r="D34" s="29"/>
      <c r="E34" s="29"/>
      <c r="F34" s="29"/>
      <c r="G34" s="29"/>
    </row>
    <row r="35" spans="1:11" ht="15" x14ac:dyDescent="0.2">
      <c r="A35" s="29"/>
      <c r="B35" s="29"/>
      <c r="C35" s="29"/>
      <c r="D35" s="29"/>
      <c r="E35" s="29"/>
      <c r="F35" s="29"/>
      <c r="G35" s="29"/>
    </row>
    <row r="36" spans="1:11" ht="15" x14ac:dyDescent="0.2">
      <c r="A36" s="29"/>
      <c r="B36" s="29"/>
      <c r="C36" s="29"/>
      <c r="D36" s="29"/>
      <c r="E36" s="29"/>
      <c r="F36" s="29"/>
      <c r="G36" s="29"/>
    </row>
    <row r="37" spans="1:11" ht="15" x14ac:dyDescent="0.2">
      <c r="A37" s="29"/>
      <c r="B37" s="29"/>
      <c r="C37" s="29"/>
      <c r="D37" s="29"/>
      <c r="E37" s="29"/>
      <c r="F37" s="29"/>
      <c r="G37" s="29"/>
    </row>
    <row r="38" spans="1:11" ht="15" x14ac:dyDescent="0.2">
      <c r="A38" s="29"/>
      <c r="B38" s="29"/>
      <c r="C38" s="29"/>
      <c r="D38" s="29"/>
      <c r="E38" s="29"/>
      <c r="F38" s="29"/>
      <c r="G38" s="29"/>
    </row>
    <row r="39" spans="1:11" ht="15" x14ac:dyDescent="0.2">
      <c r="A39" s="29"/>
      <c r="B39" s="29"/>
      <c r="C39" s="29"/>
      <c r="D39" s="29"/>
      <c r="E39" s="29"/>
      <c r="F39" s="29"/>
      <c r="G39" s="29"/>
    </row>
    <row r="40" spans="1:11" ht="15" x14ac:dyDescent="0.2">
      <c r="A40" s="29"/>
      <c r="B40" s="29"/>
      <c r="C40" s="29"/>
      <c r="D40" s="29"/>
      <c r="E40" s="29"/>
      <c r="F40" s="29"/>
      <c r="G40" s="29"/>
    </row>
    <row r="41" spans="1:11" ht="15" x14ac:dyDescent="0.2">
      <c r="A41" s="29"/>
      <c r="B41" s="29"/>
      <c r="C41" s="29"/>
      <c r="D41" s="29"/>
      <c r="E41" s="29"/>
      <c r="F41" s="29"/>
      <c r="G41" s="29"/>
    </row>
    <row r="42" spans="1:11" ht="15" x14ac:dyDescent="0.2">
      <c r="A42" s="29"/>
      <c r="B42" s="29"/>
      <c r="C42" s="29"/>
      <c r="D42" s="29"/>
      <c r="E42" s="29"/>
      <c r="F42" s="29"/>
      <c r="G42" s="29"/>
    </row>
    <row r="43" spans="1:11" ht="15" x14ac:dyDescent="0.2">
      <c r="A43" s="29"/>
      <c r="B43" s="29"/>
      <c r="C43" s="29"/>
      <c r="D43" s="29"/>
      <c r="E43" s="29"/>
      <c r="F43" s="29"/>
      <c r="G43" s="29"/>
    </row>
    <row r="44" spans="1:11" ht="15" x14ac:dyDescent="0.2">
      <c r="A44" s="29"/>
      <c r="B44" s="29"/>
      <c r="C44" s="29"/>
      <c r="D44" s="29"/>
      <c r="E44" s="29"/>
      <c r="F44" s="29"/>
      <c r="G44" s="29"/>
    </row>
    <row r="45" spans="1:11" ht="15" x14ac:dyDescent="0.2">
      <c r="A45" s="29"/>
      <c r="B45" s="29"/>
      <c r="C45" s="29"/>
      <c r="D45" s="29"/>
      <c r="E45" s="29"/>
      <c r="F45" s="29"/>
      <c r="G45" s="29"/>
    </row>
    <row r="46" spans="1:11" ht="15" x14ac:dyDescent="0.2">
      <c r="A46" s="29"/>
      <c r="B46" s="29"/>
      <c r="C46" s="29"/>
      <c r="D46" s="29"/>
      <c r="E46" s="29"/>
      <c r="F46" s="29"/>
      <c r="G46" s="29"/>
    </row>
    <row r="47" spans="1:11" ht="15" x14ac:dyDescent="0.2">
      <c r="A47" s="29"/>
      <c r="B47" s="29"/>
      <c r="C47" s="29"/>
      <c r="D47" s="29"/>
      <c r="E47" s="29"/>
      <c r="F47" s="29"/>
      <c r="G47" s="29"/>
    </row>
    <row r="48" spans="1:11" ht="15" x14ac:dyDescent="0.2">
      <c r="A48" s="29"/>
      <c r="B48" s="29"/>
      <c r="C48" s="29"/>
      <c r="D48" s="29"/>
      <c r="E48" s="29"/>
      <c r="F48" s="29"/>
      <c r="G48" s="29"/>
    </row>
    <row r="49" spans="1:7" ht="15" x14ac:dyDescent="0.2">
      <c r="A49" s="29"/>
      <c r="B49" s="29"/>
      <c r="C49" s="29"/>
      <c r="D49" s="29"/>
      <c r="E49" s="29"/>
      <c r="F49" s="29"/>
      <c r="G49" s="29"/>
    </row>
    <row r="50" spans="1:7" ht="15" x14ac:dyDescent="0.2">
      <c r="A50" s="29"/>
      <c r="B50" s="29"/>
      <c r="C50" s="29"/>
      <c r="D50" s="29"/>
      <c r="E50" s="29"/>
      <c r="F50" s="29"/>
      <c r="G50" s="29"/>
    </row>
    <row r="51" spans="1:7" ht="15" x14ac:dyDescent="0.2">
      <c r="A51" s="29"/>
      <c r="B51" s="29"/>
      <c r="C51" s="29"/>
      <c r="D51" s="29"/>
      <c r="E51" s="29"/>
      <c r="F51" s="29"/>
      <c r="G51" s="29"/>
    </row>
    <row r="52" spans="1:7" ht="15" x14ac:dyDescent="0.2">
      <c r="A52" s="29"/>
      <c r="B52" s="29"/>
      <c r="C52" s="29"/>
      <c r="D52" s="29"/>
      <c r="E52" s="29"/>
      <c r="F52" s="29"/>
      <c r="G52" s="29"/>
    </row>
    <row r="53" spans="1:7" ht="15" x14ac:dyDescent="0.2">
      <c r="A53" s="29"/>
      <c r="B53" s="29"/>
      <c r="C53" s="29"/>
      <c r="D53" s="29"/>
      <c r="E53" s="29"/>
      <c r="F53" s="29"/>
      <c r="G53" s="29"/>
    </row>
    <row r="54" spans="1:7" ht="15" x14ac:dyDescent="0.2">
      <c r="A54" s="29"/>
      <c r="B54" s="29"/>
      <c r="C54" s="29"/>
      <c r="D54" s="29"/>
      <c r="E54" s="29"/>
      <c r="F54" s="29"/>
      <c r="G54" s="29"/>
    </row>
    <row r="55" spans="1:7" ht="15" x14ac:dyDescent="0.2">
      <c r="A55" s="29"/>
      <c r="B55" s="29"/>
      <c r="C55" s="29"/>
      <c r="D55" s="29"/>
      <c r="E55" s="29"/>
      <c r="F55" s="29"/>
      <c r="G55" s="29"/>
    </row>
    <row r="56" spans="1:7" ht="15" x14ac:dyDescent="0.2">
      <c r="A56" s="29"/>
      <c r="B56" s="29"/>
      <c r="C56" s="29"/>
      <c r="D56" s="29"/>
      <c r="E56" s="29"/>
      <c r="F56" s="29"/>
      <c r="G56" s="29"/>
    </row>
    <row r="57" spans="1:7" ht="15" x14ac:dyDescent="0.2">
      <c r="A57" s="29"/>
      <c r="B57" s="29"/>
      <c r="C57" s="29"/>
      <c r="D57" s="29"/>
      <c r="E57" s="29"/>
      <c r="F57" s="29"/>
      <c r="G57" s="29"/>
    </row>
    <row r="58" spans="1:7" ht="15" x14ac:dyDescent="0.2">
      <c r="A58" s="29"/>
      <c r="B58" s="29"/>
      <c r="C58" s="29"/>
      <c r="D58" s="29"/>
      <c r="E58" s="29"/>
      <c r="F58" s="29"/>
      <c r="G58" s="29"/>
    </row>
    <row r="59" spans="1:7" ht="15" x14ac:dyDescent="0.2">
      <c r="A59" s="29"/>
      <c r="B59" s="29"/>
      <c r="C59" s="29"/>
      <c r="D59" s="29"/>
      <c r="E59" s="29"/>
      <c r="F59" s="29"/>
      <c r="G59" s="29"/>
    </row>
    <row r="60" spans="1:7" ht="15" x14ac:dyDescent="0.2">
      <c r="A60" s="29"/>
      <c r="B60" s="29"/>
      <c r="C60" s="29"/>
      <c r="D60" s="29"/>
      <c r="E60" s="29"/>
      <c r="F60" s="29"/>
      <c r="G60" s="29"/>
    </row>
    <row r="61" spans="1:7" ht="15" x14ac:dyDescent="0.2">
      <c r="A61" s="29"/>
      <c r="B61" s="29"/>
      <c r="C61" s="29"/>
      <c r="D61" s="29"/>
      <c r="E61" s="29"/>
      <c r="F61" s="29"/>
      <c r="G61" s="29"/>
    </row>
    <row r="62" spans="1:7" ht="15" x14ac:dyDescent="0.2">
      <c r="A62" s="29"/>
      <c r="B62" s="29"/>
      <c r="C62" s="29"/>
      <c r="D62" s="29"/>
      <c r="E62" s="29"/>
      <c r="F62" s="29"/>
      <c r="G62" s="29"/>
    </row>
    <row r="63" spans="1:7" ht="15" x14ac:dyDescent="0.2">
      <c r="A63" s="29"/>
      <c r="B63" s="29"/>
      <c r="C63" s="29"/>
      <c r="D63" s="29"/>
      <c r="E63" s="29"/>
      <c r="F63" s="29"/>
      <c r="G63" s="29"/>
    </row>
    <row r="64" spans="1:7" ht="15" x14ac:dyDescent="0.2">
      <c r="A64" s="29"/>
      <c r="B64" s="29"/>
      <c r="C64" s="29"/>
      <c r="D64" s="29"/>
      <c r="E64" s="29"/>
      <c r="F64" s="29"/>
      <c r="G64" s="29"/>
    </row>
    <row r="65" spans="1:7" ht="15" x14ac:dyDescent="0.2">
      <c r="A65" s="29"/>
      <c r="B65" s="29"/>
      <c r="C65" s="29"/>
      <c r="D65" s="29"/>
      <c r="E65" s="29"/>
      <c r="F65" s="29"/>
      <c r="G65" s="29"/>
    </row>
    <row r="66" spans="1:7" ht="15" x14ac:dyDescent="0.2">
      <c r="A66" s="29"/>
      <c r="B66" s="29"/>
      <c r="C66" s="29"/>
      <c r="D66" s="29"/>
      <c r="E66" s="29"/>
      <c r="F66" s="29"/>
      <c r="G66" s="29"/>
    </row>
    <row r="67" spans="1:7" ht="15" x14ac:dyDescent="0.2">
      <c r="A67" s="29"/>
      <c r="B67" s="29"/>
      <c r="C67" s="29"/>
      <c r="D67" s="29"/>
      <c r="E67" s="29"/>
      <c r="F67" s="29"/>
      <c r="G67" s="29"/>
    </row>
    <row r="68" spans="1:7" ht="15" x14ac:dyDescent="0.2">
      <c r="A68" s="29"/>
      <c r="B68" s="29"/>
      <c r="C68" s="29"/>
      <c r="D68" s="29"/>
      <c r="E68" s="29"/>
      <c r="F68" s="29"/>
      <c r="G68" s="29"/>
    </row>
    <row r="69" spans="1:7" ht="15" x14ac:dyDescent="0.2">
      <c r="A69" s="29"/>
      <c r="B69" s="29"/>
      <c r="C69" s="29"/>
      <c r="D69" s="29"/>
      <c r="E69" s="29"/>
      <c r="F69" s="29"/>
      <c r="G69" s="29"/>
    </row>
    <row r="70" spans="1:7" ht="15" x14ac:dyDescent="0.2">
      <c r="A70" s="29"/>
      <c r="B70" s="29"/>
      <c r="C70" s="29"/>
      <c r="D70" s="29"/>
      <c r="E70" s="29"/>
      <c r="F70" s="29"/>
      <c r="G70" s="29"/>
    </row>
    <row r="71" spans="1:7" ht="15" x14ac:dyDescent="0.2">
      <c r="A71" s="29"/>
      <c r="B71" s="29"/>
      <c r="C71" s="29"/>
      <c r="D71" s="29"/>
      <c r="E71" s="29"/>
      <c r="F71" s="29"/>
      <c r="G71" s="29"/>
    </row>
    <row r="72" spans="1:7" ht="15" x14ac:dyDescent="0.2">
      <c r="A72" s="29"/>
      <c r="B72" s="29"/>
      <c r="C72" s="29"/>
      <c r="D72" s="29"/>
      <c r="E72" s="29"/>
      <c r="F72" s="29"/>
      <c r="G72" s="29"/>
    </row>
    <row r="73" spans="1:7" ht="15" x14ac:dyDescent="0.2">
      <c r="A73" s="29"/>
      <c r="B73" s="29"/>
      <c r="C73" s="29"/>
      <c r="D73" s="29"/>
      <c r="E73" s="29"/>
      <c r="F73" s="29"/>
      <c r="G73" s="29"/>
    </row>
  </sheetData>
  <mergeCells count="4">
    <mergeCell ref="A1:D1"/>
    <mergeCell ref="A2:D2"/>
    <mergeCell ref="H1:K1"/>
    <mergeCell ref="H2:J2"/>
  </mergeCells>
  <pageMargins left="0.7" right="0.7" top="0.75" bottom="0.75" header="0.3" footer="0.3"/>
  <pageSetup scale="5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330F-3B74-4498-A3BC-4C748B653E3A}">
  <sheetPr>
    <tabColor theme="0" tint="-4.9989318521683403E-2"/>
    <pageSetUpPr fitToPage="1"/>
  </sheetPr>
  <dimension ref="A1:I51"/>
  <sheetViews>
    <sheetView zoomScaleNormal="100" workbookViewId="0">
      <selection activeCell="B4" sqref="B4"/>
    </sheetView>
  </sheetViews>
  <sheetFormatPr defaultRowHeight="15" x14ac:dyDescent="0.2"/>
  <cols>
    <col min="1" max="1" width="72.125" style="1" bestFit="1" customWidth="1"/>
    <col min="2" max="2" width="15.625" style="2" customWidth="1"/>
    <col min="3" max="3" width="27.875" style="1" bestFit="1" customWidth="1"/>
    <col min="4" max="16384" width="9" style="1"/>
  </cols>
  <sheetData>
    <row r="1" spans="1:9" ht="21" x14ac:dyDescent="0.2">
      <c r="A1" s="18" t="s">
        <v>22</v>
      </c>
      <c r="B1" s="5"/>
      <c r="C1" s="18"/>
    </row>
    <row r="2" spans="1:9" ht="18.75" x14ac:dyDescent="0.2">
      <c r="A2" s="17" t="s">
        <v>19</v>
      </c>
      <c r="B2" s="5"/>
    </row>
    <row r="3" spans="1:9" x14ac:dyDescent="0.2">
      <c r="A3" s="58" t="s">
        <v>30</v>
      </c>
      <c r="B3" s="58"/>
    </row>
    <row r="4" spans="1:9" x14ac:dyDescent="0.2">
      <c r="A4" s="3" t="s">
        <v>43</v>
      </c>
      <c r="B4" s="20">
        <v>0</v>
      </c>
      <c r="D4" s="62" t="s">
        <v>40</v>
      </c>
      <c r="E4" s="62"/>
      <c r="F4" s="62"/>
      <c r="G4" s="62"/>
      <c r="H4" s="62"/>
      <c r="I4" s="62"/>
    </row>
    <row r="5" spans="1:9" x14ac:dyDescent="0.2">
      <c r="A5" s="9" t="s">
        <v>46</v>
      </c>
      <c r="B5" s="15">
        <f>'New Bus Salary Cap Calc'!D33</f>
        <v>0</v>
      </c>
      <c r="C5" s="1" t="s">
        <v>55</v>
      </c>
      <c r="D5" s="62"/>
      <c r="E5" s="62"/>
      <c r="F5" s="62"/>
      <c r="G5" s="62"/>
      <c r="H5" s="62"/>
      <c r="I5" s="62"/>
    </row>
    <row r="6" spans="1:9" x14ac:dyDescent="0.2">
      <c r="A6" s="9" t="s">
        <v>36</v>
      </c>
      <c r="B6" s="21">
        <v>0</v>
      </c>
      <c r="C6" s="1" t="s">
        <v>16</v>
      </c>
      <c r="D6" s="62"/>
      <c r="E6" s="62"/>
      <c r="F6" s="62"/>
      <c r="G6" s="62"/>
      <c r="H6" s="62"/>
      <c r="I6" s="62"/>
    </row>
    <row r="7" spans="1:9" x14ac:dyDescent="0.2">
      <c r="A7" s="9" t="s">
        <v>45</v>
      </c>
      <c r="B7" s="21">
        <v>0</v>
      </c>
      <c r="C7" s="1" t="s">
        <v>16</v>
      </c>
      <c r="D7" s="62"/>
      <c r="E7" s="62"/>
      <c r="F7" s="62"/>
      <c r="G7" s="62"/>
      <c r="H7" s="62"/>
      <c r="I7" s="62"/>
    </row>
    <row r="8" spans="1:9" x14ac:dyDescent="0.2">
      <c r="A8" s="3" t="s">
        <v>37</v>
      </c>
      <c r="B8" s="21">
        <v>0</v>
      </c>
      <c r="D8" s="62"/>
      <c r="E8" s="62"/>
      <c r="F8" s="62"/>
      <c r="G8" s="62"/>
      <c r="H8" s="62"/>
      <c r="I8" s="62"/>
    </row>
    <row r="9" spans="1:9" x14ac:dyDescent="0.2">
      <c r="A9" s="3" t="s">
        <v>35</v>
      </c>
      <c r="B9" s="21">
        <v>0</v>
      </c>
      <c r="D9" s="62"/>
      <c r="E9" s="62"/>
      <c r="F9" s="62"/>
      <c r="G9" s="62"/>
      <c r="H9" s="62"/>
      <c r="I9" s="62"/>
    </row>
    <row r="10" spans="1:9" x14ac:dyDescent="0.2">
      <c r="A10" s="3" t="s">
        <v>39</v>
      </c>
      <c r="B10" s="46">
        <v>0</v>
      </c>
      <c r="D10" s="62"/>
      <c r="E10" s="62"/>
      <c r="F10" s="62"/>
      <c r="G10" s="62"/>
      <c r="H10" s="62"/>
      <c r="I10" s="62"/>
    </row>
    <row r="11" spans="1:9" x14ac:dyDescent="0.2">
      <c r="A11" s="3" t="s">
        <v>21</v>
      </c>
      <c r="B11" s="14">
        <f>MAX(0,B4-B5-B6-B7+B8+B9+B10)</f>
        <v>0</v>
      </c>
      <c r="D11" s="62"/>
      <c r="E11" s="62"/>
      <c r="F11" s="62"/>
      <c r="G11" s="62"/>
      <c r="H11" s="62"/>
      <c r="I11" s="62"/>
    </row>
    <row r="12" spans="1:9" s="13" customFormat="1" x14ac:dyDescent="0.2">
      <c r="A12" s="6"/>
      <c r="B12" s="5"/>
    </row>
    <row r="13" spans="1:9" x14ac:dyDescent="0.2">
      <c r="A13" s="3" t="s">
        <v>20</v>
      </c>
      <c r="B13" s="50">
        <f>+B11/2</f>
        <v>0</v>
      </c>
    </row>
    <row r="14" spans="1:9" x14ac:dyDescent="0.2">
      <c r="A14" s="3"/>
      <c r="B14" s="4"/>
    </row>
    <row r="15" spans="1:9" x14ac:dyDescent="0.2">
      <c r="A15" s="3" t="s">
        <v>38</v>
      </c>
      <c r="B15" s="49">
        <v>2.5</v>
      </c>
    </row>
    <row r="16" spans="1:9" x14ac:dyDescent="0.2">
      <c r="A16" s="3"/>
      <c r="B16" s="55"/>
    </row>
    <row r="17" spans="1:3" x14ac:dyDescent="0.2">
      <c r="A17" s="56" t="s">
        <v>42</v>
      </c>
      <c r="B17" s="55"/>
    </row>
    <row r="18" spans="1:3" x14ac:dyDescent="0.2">
      <c r="A18" s="3"/>
      <c r="B18" s="55"/>
    </row>
    <row r="19" spans="1:3" ht="15.75" thickBot="1" x14ac:dyDescent="0.25">
      <c r="A19" s="6" t="s">
        <v>19</v>
      </c>
      <c r="B19" s="51">
        <f>MIN(B13*B15,10000000)</f>
        <v>0</v>
      </c>
    </row>
    <row r="20" spans="1:3" ht="15.75" thickTop="1" x14ac:dyDescent="0.2">
      <c r="A20" s="6"/>
      <c r="B20" s="5"/>
    </row>
    <row r="21" spans="1:3" x14ac:dyDescent="0.2">
      <c r="A21" s="6"/>
      <c r="B21" s="5"/>
    </row>
    <row r="22" spans="1:3" ht="18.75" x14ac:dyDescent="0.2">
      <c r="A22" s="17" t="s">
        <v>18</v>
      </c>
      <c r="B22" s="5"/>
    </row>
    <row r="23" spans="1:3" x14ac:dyDescent="0.2">
      <c r="A23" s="16" t="s">
        <v>17</v>
      </c>
      <c r="B23" s="4"/>
    </row>
    <row r="24" spans="1:3" x14ac:dyDescent="0.2">
      <c r="A24" s="3" t="s">
        <v>43</v>
      </c>
      <c r="B24" s="22">
        <v>0</v>
      </c>
    </row>
    <row r="25" spans="1:3" x14ac:dyDescent="0.2">
      <c r="A25" s="9" t="s">
        <v>46</v>
      </c>
      <c r="B25" s="15">
        <f>'New Bus Salary Cap Calc'!K33</f>
        <v>0</v>
      </c>
      <c r="C25" s="1" t="s">
        <v>55</v>
      </c>
    </row>
    <row r="26" spans="1:3" x14ac:dyDescent="0.2">
      <c r="A26" s="9" t="s">
        <v>36</v>
      </c>
      <c r="B26" s="23">
        <v>0</v>
      </c>
      <c r="C26" s="1" t="s">
        <v>16</v>
      </c>
    </row>
    <row r="27" spans="1:3" x14ac:dyDescent="0.2">
      <c r="A27" s="9" t="s">
        <v>45</v>
      </c>
      <c r="B27" s="23">
        <v>0</v>
      </c>
      <c r="C27" s="1" t="s">
        <v>16</v>
      </c>
    </row>
    <row r="28" spans="1:3" x14ac:dyDescent="0.2">
      <c r="A28" s="3" t="s">
        <v>37</v>
      </c>
      <c r="B28" s="23">
        <v>0</v>
      </c>
    </row>
    <row r="29" spans="1:3" x14ac:dyDescent="0.2">
      <c r="A29" s="3" t="s">
        <v>35</v>
      </c>
      <c r="B29" s="23">
        <v>0</v>
      </c>
    </row>
    <row r="30" spans="1:3" x14ac:dyDescent="0.2">
      <c r="A30" s="3" t="s">
        <v>39</v>
      </c>
      <c r="B30" s="23">
        <v>0</v>
      </c>
    </row>
    <row r="31" spans="1:3" x14ac:dyDescent="0.2">
      <c r="A31" s="3" t="s">
        <v>15</v>
      </c>
      <c r="B31" s="23">
        <v>0</v>
      </c>
      <c r="C31" s="60" t="s">
        <v>48</v>
      </c>
    </row>
    <row r="32" spans="1:3" x14ac:dyDescent="0.2">
      <c r="A32" s="3" t="s">
        <v>14</v>
      </c>
      <c r="B32" s="23">
        <v>0</v>
      </c>
      <c r="C32" s="60"/>
    </row>
    <row r="33" spans="1:6" x14ac:dyDescent="0.2">
      <c r="A33" s="3" t="s">
        <v>13</v>
      </c>
      <c r="B33" s="47">
        <v>0</v>
      </c>
      <c r="C33" s="60"/>
    </row>
    <row r="34" spans="1:6" x14ac:dyDescent="0.2">
      <c r="A34" s="3" t="s">
        <v>12</v>
      </c>
      <c r="B34" s="14">
        <f>MAX(0,B24-B25-B26-B27+B28+B29+B30+B31+B32+B33)</f>
        <v>0</v>
      </c>
    </row>
    <row r="35" spans="1:6" x14ac:dyDescent="0.2">
      <c r="A35" s="3"/>
      <c r="B35" s="4"/>
    </row>
    <row r="36" spans="1:6" x14ac:dyDescent="0.2">
      <c r="A36" s="3" t="s">
        <v>11</v>
      </c>
      <c r="B36" s="14">
        <f>B19</f>
        <v>0</v>
      </c>
    </row>
    <row r="37" spans="1:6" x14ac:dyDescent="0.2">
      <c r="A37" s="3"/>
      <c r="B37" s="4"/>
    </row>
    <row r="38" spans="1:6" s="13" customFormat="1" x14ac:dyDescent="0.2">
      <c r="A38" s="6" t="s">
        <v>10</v>
      </c>
      <c r="B38" s="7">
        <f>MIN(B34,B36)</f>
        <v>0</v>
      </c>
    </row>
    <row r="39" spans="1:6" x14ac:dyDescent="0.2">
      <c r="A39" s="3"/>
      <c r="B39" s="4"/>
    </row>
    <row r="40" spans="1:6" x14ac:dyDescent="0.2">
      <c r="A40" s="9" t="s">
        <v>9</v>
      </c>
      <c r="B40" s="23">
        <v>0</v>
      </c>
    </row>
    <row r="41" spans="1:6" x14ac:dyDescent="0.2">
      <c r="A41" s="9" t="s">
        <v>8</v>
      </c>
      <c r="B41" s="23">
        <v>0</v>
      </c>
      <c r="E41" s="12"/>
      <c r="F41" s="11"/>
    </row>
    <row r="42" spans="1:6" x14ac:dyDescent="0.2">
      <c r="A42" s="9"/>
      <c r="B42" s="10"/>
    </row>
    <row r="43" spans="1:6" x14ac:dyDescent="0.2">
      <c r="A43" s="9" t="s">
        <v>29</v>
      </c>
      <c r="B43" s="23">
        <v>0</v>
      </c>
    </row>
    <row r="44" spans="1:6" x14ac:dyDescent="0.2">
      <c r="A44" s="3"/>
      <c r="B44" s="45"/>
    </row>
    <row r="45" spans="1:6" x14ac:dyDescent="0.2">
      <c r="A45" s="3" t="s">
        <v>4</v>
      </c>
      <c r="B45" s="52">
        <f>IF(B41&gt;=B43,1,B40/B43)</f>
        <v>1</v>
      </c>
    </row>
    <row r="46" spans="1:6" x14ac:dyDescent="0.2">
      <c r="A46" s="3"/>
      <c r="B46" s="4"/>
    </row>
    <row r="47" spans="1:6" ht="15.75" thickBot="1" x14ac:dyDescent="0.25">
      <c r="A47" s="6" t="s">
        <v>3</v>
      </c>
      <c r="B47" s="51">
        <f>MIN(B38,B19*B45)</f>
        <v>0</v>
      </c>
    </row>
    <row r="48" spans="1:6" ht="15.75" thickTop="1" x14ac:dyDescent="0.2">
      <c r="A48" s="6"/>
      <c r="B48" s="5"/>
    </row>
    <row r="49" spans="1:3" x14ac:dyDescent="0.2">
      <c r="A49" s="6" t="s">
        <v>44</v>
      </c>
      <c r="B49" s="7">
        <f>+B19-B47</f>
        <v>0</v>
      </c>
    </row>
    <row r="50" spans="1:3" x14ac:dyDescent="0.2">
      <c r="A50" s="6"/>
      <c r="B50" s="5"/>
    </row>
    <row r="51" spans="1:3" x14ac:dyDescent="0.2">
      <c r="A51" s="3"/>
      <c r="B51" s="4"/>
      <c r="C51" s="3"/>
    </row>
  </sheetData>
  <sheetProtection algorithmName="SHA-512" hashValue="Zc28UIGIyDJquatI+OWGHTPnxRiwiJyIT1EZ8pQdja+dqZS3W0HiRPfEnf+HOvAL3udqMN2YSl7l5MqDvGEHoA==" saltValue="Jf+cWTntsjDIGBGMRcHVCQ==" spinCount="100000" sheet="1" objects="1" scenarios="1"/>
  <mergeCells count="3">
    <mergeCell ref="A3:B3"/>
    <mergeCell ref="D4:I11"/>
    <mergeCell ref="C31:C33"/>
  </mergeCells>
  <pageMargins left="0.7" right="0.7" top="0.75" bottom="0.75" header="0.3" footer="0.3"/>
  <pageSetup scale="7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42A32-D3A3-48FC-872A-9A6C9FD2739C}">
  <sheetPr>
    <tabColor theme="0" tint="-4.9989318521683403E-2"/>
    <pageSetUpPr fitToPage="1"/>
  </sheetPr>
  <dimension ref="A1:C33"/>
  <sheetViews>
    <sheetView workbookViewId="0">
      <selection activeCell="B4" sqref="B4"/>
    </sheetView>
  </sheetViews>
  <sheetFormatPr defaultRowHeight="15" x14ac:dyDescent="0.2"/>
  <cols>
    <col min="1" max="1" width="62.375" style="1" bestFit="1" customWidth="1"/>
    <col min="2" max="2" width="15.625" style="2" customWidth="1"/>
    <col min="3" max="3" width="27.875" style="1" bestFit="1" customWidth="1"/>
    <col min="4" max="16384" width="9" style="1"/>
  </cols>
  <sheetData>
    <row r="1" spans="1:3" ht="21" x14ac:dyDescent="0.2">
      <c r="A1" s="18" t="s">
        <v>22</v>
      </c>
      <c r="B1" s="5"/>
      <c r="C1" s="18"/>
    </row>
    <row r="2" spans="1:3" ht="18.75" x14ac:dyDescent="0.2">
      <c r="A2" s="17" t="s">
        <v>19</v>
      </c>
      <c r="B2" s="5"/>
    </row>
    <row r="3" spans="1:3" x14ac:dyDescent="0.2">
      <c r="A3" s="58" t="s">
        <v>30</v>
      </c>
      <c r="B3" s="58"/>
    </row>
    <row r="4" spans="1:3" x14ac:dyDescent="0.2">
      <c r="A4" s="3" t="s">
        <v>24</v>
      </c>
      <c r="B4" s="20">
        <v>0</v>
      </c>
    </row>
    <row r="5" spans="1:3" x14ac:dyDescent="0.2">
      <c r="A5" s="9" t="s">
        <v>23</v>
      </c>
      <c r="B5" s="54">
        <f>'New Bus Salary Cap Calc'!D33</f>
        <v>0</v>
      </c>
      <c r="C5" s="1" t="s">
        <v>55</v>
      </c>
    </row>
    <row r="6" spans="1:3" x14ac:dyDescent="0.2">
      <c r="A6" s="3" t="s">
        <v>21</v>
      </c>
      <c r="B6" s="14">
        <f>B4-B5</f>
        <v>0</v>
      </c>
    </row>
    <row r="7" spans="1:3" s="13" customFormat="1" x14ac:dyDescent="0.2">
      <c r="A7" s="6"/>
      <c r="B7" s="5"/>
    </row>
    <row r="8" spans="1:3" x14ac:dyDescent="0.2">
      <c r="A8" s="3" t="s">
        <v>20</v>
      </c>
      <c r="B8" s="50">
        <f>+B6/2</f>
        <v>0</v>
      </c>
    </row>
    <row r="9" spans="1:3" x14ac:dyDescent="0.2">
      <c r="A9" s="3"/>
      <c r="B9" s="4"/>
    </row>
    <row r="10" spans="1:3" x14ac:dyDescent="0.2">
      <c r="A10" s="3" t="s">
        <v>38</v>
      </c>
      <c r="B10" s="49">
        <v>2.5</v>
      </c>
    </row>
    <row r="11" spans="1:3" x14ac:dyDescent="0.2">
      <c r="A11" s="3"/>
      <c r="B11" s="55"/>
    </row>
    <row r="12" spans="1:3" x14ac:dyDescent="0.2">
      <c r="A12" s="56" t="s">
        <v>42</v>
      </c>
      <c r="B12" s="55"/>
    </row>
    <row r="13" spans="1:3" x14ac:dyDescent="0.2">
      <c r="A13" s="3"/>
      <c r="B13" s="55"/>
    </row>
    <row r="14" spans="1:3" ht="15.75" thickBot="1" x14ac:dyDescent="0.25">
      <c r="A14" s="6" t="s">
        <v>19</v>
      </c>
      <c r="B14" s="48">
        <f>MIN(B8*B10,10000000)</f>
        <v>0</v>
      </c>
    </row>
    <row r="15" spans="1:3" ht="15.75" thickTop="1" x14ac:dyDescent="0.2">
      <c r="A15" s="6"/>
      <c r="B15" s="5"/>
    </row>
    <row r="16" spans="1:3" x14ac:dyDescent="0.2">
      <c r="A16" s="6"/>
      <c r="B16" s="5"/>
    </row>
    <row r="17" spans="1:3" ht="18.75" x14ac:dyDescent="0.2">
      <c r="A17" s="17" t="s">
        <v>18</v>
      </c>
      <c r="B17" s="5"/>
    </row>
    <row r="18" spans="1:3" x14ac:dyDescent="0.2">
      <c r="A18" s="16" t="s">
        <v>17</v>
      </c>
      <c r="B18" s="4"/>
    </row>
    <row r="19" spans="1:3" x14ac:dyDescent="0.2">
      <c r="A19" s="3" t="s">
        <v>24</v>
      </c>
      <c r="B19" s="22">
        <v>0</v>
      </c>
    </row>
    <row r="20" spans="1:3" x14ac:dyDescent="0.2">
      <c r="A20" s="9" t="s">
        <v>23</v>
      </c>
      <c r="B20" s="15">
        <f>'New Bus Salary Cap Calc'!K33</f>
        <v>0</v>
      </c>
      <c r="C20" s="1" t="s">
        <v>55</v>
      </c>
    </row>
    <row r="21" spans="1:3" x14ac:dyDescent="0.2">
      <c r="A21" s="3" t="s">
        <v>15</v>
      </c>
      <c r="B21" s="23">
        <v>0</v>
      </c>
      <c r="C21" s="60" t="s">
        <v>48</v>
      </c>
    </row>
    <row r="22" spans="1:3" x14ac:dyDescent="0.2">
      <c r="A22" s="3" t="s">
        <v>14</v>
      </c>
      <c r="B22" s="23">
        <v>0</v>
      </c>
      <c r="C22" s="60"/>
    </row>
    <row r="23" spans="1:3" x14ac:dyDescent="0.2">
      <c r="A23" s="3" t="s">
        <v>13</v>
      </c>
      <c r="B23" s="47">
        <v>0</v>
      </c>
      <c r="C23" s="60"/>
    </row>
    <row r="24" spans="1:3" x14ac:dyDescent="0.2">
      <c r="A24" s="3" t="s">
        <v>12</v>
      </c>
      <c r="B24" s="14">
        <f>MAX(0,B19-B20+B21+B22+B23)</f>
        <v>0</v>
      </c>
    </row>
    <row r="25" spans="1:3" x14ac:dyDescent="0.2">
      <c r="A25" s="3"/>
      <c r="B25" s="4"/>
    </row>
    <row r="26" spans="1:3" x14ac:dyDescent="0.2">
      <c r="A26" s="3" t="s">
        <v>11</v>
      </c>
      <c r="B26" s="14">
        <f>B14</f>
        <v>0</v>
      </c>
    </row>
    <row r="27" spans="1:3" x14ac:dyDescent="0.2">
      <c r="A27" s="3"/>
      <c r="B27" s="4"/>
    </row>
    <row r="28" spans="1:3" s="13" customFormat="1" ht="15.75" thickBot="1" x14ac:dyDescent="0.25">
      <c r="A28" s="6" t="s">
        <v>10</v>
      </c>
      <c r="B28" s="51">
        <f>MIN(B24,B26)</f>
        <v>0</v>
      </c>
    </row>
    <row r="29" spans="1:3" ht="15.75" thickTop="1" x14ac:dyDescent="0.2">
      <c r="A29" s="3"/>
      <c r="B29" s="4"/>
    </row>
    <row r="30" spans="1:3" x14ac:dyDescent="0.2">
      <c r="A30" s="6"/>
      <c r="B30" s="5"/>
    </row>
    <row r="31" spans="1:3" x14ac:dyDescent="0.2">
      <c r="A31" s="6" t="s">
        <v>44</v>
      </c>
      <c r="B31" s="7">
        <f>+B14-B28</f>
        <v>0</v>
      </c>
    </row>
    <row r="32" spans="1:3" x14ac:dyDescent="0.2">
      <c r="A32" s="6"/>
      <c r="B32" s="5"/>
    </row>
    <row r="33" spans="1:3" x14ac:dyDescent="0.2">
      <c r="A33" s="3"/>
      <c r="B33" s="4"/>
      <c r="C33" s="3"/>
    </row>
  </sheetData>
  <sheetProtection algorithmName="SHA-512" hashValue="Ub3nuWN5rfmvPTqqTgVfA73UYT6lpPM5QcSAHsqyycGEtWQG3SN8rVZKhJ2qclTHJYi1+n9vyNzGPK4wCs+7Kw==" saltValue="QcmWcpR3ca4YaDvVJ+MFuw==" spinCount="100000" sheet="1" objects="1" scenarios="1"/>
  <mergeCells count="2">
    <mergeCell ref="A3:B3"/>
    <mergeCell ref="C21:C23"/>
  </mergeCells>
  <pageMargins left="0.7" right="0.7" top="0.75" bottom="0.75" header="0.3" footer="0.3"/>
  <pageSetup scale="7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F2A9A-E4D7-42E8-8C26-EC621F82669F}">
  <sheetPr>
    <tabColor theme="0" tint="-4.9989318521683403E-2"/>
    <pageSetUpPr fitToPage="1"/>
  </sheetPr>
  <dimension ref="A1:K73"/>
  <sheetViews>
    <sheetView workbookViewId="0">
      <selection activeCell="A4" sqref="A4"/>
    </sheetView>
  </sheetViews>
  <sheetFormatPr defaultRowHeight="12.75" x14ac:dyDescent="0.2"/>
  <cols>
    <col min="1" max="1" width="51.25" style="1" customWidth="1"/>
    <col min="2" max="2" width="1.125" style="1" customWidth="1"/>
    <col min="3" max="4" width="25.625" style="1" customWidth="1"/>
    <col min="5" max="7" width="6.625" style="1" customWidth="1"/>
    <col min="8" max="8" width="54.125" style="1" customWidth="1"/>
    <col min="9" max="9" width="1.125" style="1" customWidth="1"/>
    <col min="10" max="11" width="25.625" style="1" customWidth="1"/>
    <col min="12" max="16384" width="9" style="1"/>
  </cols>
  <sheetData>
    <row r="1" spans="1:11" ht="39.75" customHeight="1" x14ac:dyDescent="0.2">
      <c r="A1" s="61" t="s">
        <v>49</v>
      </c>
      <c r="B1" s="61"/>
      <c r="C1" s="61"/>
      <c r="D1" s="61"/>
      <c r="F1" s="28"/>
      <c r="H1" s="61" t="s">
        <v>50</v>
      </c>
      <c r="I1" s="61"/>
      <c r="J1" s="61"/>
      <c r="K1" s="61"/>
    </row>
    <row r="2" spans="1:11" ht="15" customHeight="1" x14ac:dyDescent="0.2">
      <c r="A2" s="58" t="s">
        <v>30</v>
      </c>
      <c r="B2" s="58"/>
      <c r="C2" s="58"/>
      <c r="D2" s="58"/>
      <c r="E2" s="29"/>
      <c r="F2" s="30"/>
      <c r="G2" s="29"/>
      <c r="H2" s="58" t="s">
        <v>32</v>
      </c>
      <c r="I2" s="58"/>
      <c r="J2" s="58"/>
      <c r="K2" s="29"/>
    </row>
    <row r="3" spans="1:11" s="13" customFormat="1" ht="30" x14ac:dyDescent="0.25">
      <c r="A3" s="31" t="s">
        <v>25</v>
      </c>
      <c r="B3" s="31"/>
      <c r="C3" s="32" t="s">
        <v>56</v>
      </c>
      <c r="D3" s="32" t="s">
        <v>31</v>
      </c>
      <c r="E3" s="43"/>
      <c r="F3" s="44"/>
      <c r="G3" s="43"/>
      <c r="H3" s="31" t="s">
        <v>25</v>
      </c>
      <c r="I3" s="31"/>
      <c r="J3" s="32" t="s">
        <v>57</v>
      </c>
      <c r="K3" s="32" t="s">
        <v>52</v>
      </c>
    </row>
    <row r="4" spans="1:11" ht="15" x14ac:dyDescent="0.2">
      <c r="A4" s="26"/>
      <c r="B4" s="19"/>
      <c r="C4" s="27">
        <v>0</v>
      </c>
      <c r="D4" s="35">
        <f t="shared" ref="D4:D31" si="0">MAX(C4-((100000/12)*2), 0)</f>
        <v>0</v>
      </c>
      <c r="E4" s="29"/>
      <c r="F4" s="30"/>
      <c r="G4" s="29"/>
      <c r="H4" s="24"/>
      <c r="I4" s="19"/>
      <c r="J4" s="25">
        <v>0</v>
      </c>
      <c r="K4" s="35">
        <f t="shared" ref="K4:K31" si="1">MAX(J4-((100000/52)*8), 0)</f>
        <v>0</v>
      </c>
    </row>
    <row r="5" spans="1:11" ht="15" x14ac:dyDescent="0.2">
      <c r="A5" s="26"/>
      <c r="B5" s="19"/>
      <c r="C5" s="26">
        <v>0</v>
      </c>
      <c r="D5" s="37">
        <f t="shared" si="0"/>
        <v>0</v>
      </c>
      <c r="E5" s="29"/>
      <c r="F5" s="30"/>
      <c r="G5" s="29"/>
      <c r="H5" s="24"/>
      <c r="I5" s="19"/>
      <c r="J5" s="24">
        <v>0</v>
      </c>
      <c r="K5" s="37">
        <f t="shared" si="1"/>
        <v>0</v>
      </c>
    </row>
    <row r="6" spans="1:11" ht="15" x14ac:dyDescent="0.2">
      <c r="A6" s="26"/>
      <c r="B6" s="19"/>
      <c r="C6" s="26">
        <v>0</v>
      </c>
      <c r="D6" s="37">
        <f t="shared" si="0"/>
        <v>0</v>
      </c>
      <c r="E6" s="29"/>
      <c r="F6" s="30"/>
      <c r="G6" s="29"/>
      <c r="H6" s="24"/>
      <c r="I6" s="19"/>
      <c r="J6" s="24"/>
      <c r="K6" s="37">
        <f t="shared" si="1"/>
        <v>0</v>
      </c>
    </row>
    <row r="7" spans="1:11" ht="15" x14ac:dyDescent="0.2">
      <c r="A7" s="26"/>
      <c r="B7" s="19"/>
      <c r="C7" s="26">
        <v>0</v>
      </c>
      <c r="D7" s="37">
        <f t="shared" si="0"/>
        <v>0</v>
      </c>
      <c r="E7" s="29"/>
      <c r="F7" s="30"/>
      <c r="G7" s="29"/>
      <c r="H7" s="24"/>
      <c r="I7" s="19"/>
      <c r="J7" s="24">
        <v>0</v>
      </c>
      <c r="K7" s="37">
        <f t="shared" si="1"/>
        <v>0</v>
      </c>
    </row>
    <row r="8" spans="1:11" ht="15" x14ac:dyDescent="0.2">
      <c r="A8" s="26"/>
      <c r="B8" s="19"/>
      <c r="C8" s="26">
        <v>0</v>
      </c>
      <c r="D8" s="37">
        <f t="shared" si="0"/>
        <v>0</v>
      </c>
      <c r="E8" s="29"/>
      <c r="F8" s="30"/>
      <c r="G8" s="29"/>
      <c r="H8" s="24"/>
      <c r="I8" s="19"/>
      <c r="J8" s="24">
        <v>0</v>
      </c>
      <c r="K8" s="37">
        <f t="shared" si="1"/>
        <v>0</v>
      </c>
    </row>
    <row r="9" spans="1:11" ht="15" x14ac:dyDescent="0.2">
      <c r="A9" s="26"/>
      <c r="B9" s="19"/>
      <c r="C9" s="26">
        <v>0</v>
      </c>
      <c r="D9" s="37">
        <f t="shared" si="0"/>
        <v>0</v>
      </c>
      <c r="E9" s="29"/>
      <c r="F9" s="30"/>
      <c r="G9" s="29"/>
      <c r="H9" s="24"/>
      <c r="I9" s="19"/>
      <c r="J9" s="24">
        <v>0</v>
      </c>
      <c r="K9" s="37">
        <f t="shared" si="1"/>
        <v>0</v>
      </c>
    </row>
    <row r="10" spans="1:11" ht="15" x14ac:dyDescent="0.2">
      <c r="A10" s="26"/>
      <c r="B10" s="19"/>
      <c r="C10" s="26">
        <v>0</v>
      </c>
      <c r="D10" s="37">
        <f t="shared" si="0"/>
        <v>0</v>
      </c>
      <c r="E10" s="29"/>
      <c r="F10" s="30"/>
      <c r="G10" s="29"/>
      <c r="H10" s="24"/>
      <c r="I10" s="19"/>
      <c r="J10" s="24">
        <v>0</v>
      </c>
      <c r="K10" s="37">
        <f t="shared" si="1"/>
        <v>0</v>
      </c>
    </row>
    <row r="11" spans="1:11" ht="15" x14ac:dyDescent="0.2">
      <c r="A11" s="26"/>
      <c r="B11" s="19"/>
      <c r="C11" s="26">
        <v>0</v>
      </c>
      <c r="D11" s="37">
        <f t="shared" si="0"/>
        <v>0</v>
      </c>
      <c r="E11" s="29"/>
      <c r="F11" s="30"/>
      <c r="G11" s="29"/>
      <c r="H11" s="24"/>
      <c r="I11" s="19"/>
      <c r="J11" s="24">
        <v>0</v>
      </c>
      <c r="K11" s="37">
        <f t="shared" si="1"/>
        <v>0</v>
      </c>
    </row>
    <row r="12" spans="1:11" ht="15" x14ac:dyDescent="0.2">
      <c r="A12" s="26"/>
      <c r="B12" s="19"/>
      <c r="C12" s="26">
        <v>0</v>
      </c>
      <c r="D12" s="37">
        <f t="shared" si="0"/>
        <v>0</v>
      </c>
      <c r="E12" s="29"/>
      <c r="F12" s="30"/>
      <c r="G12" s="29"/>
      <c r="H12" s="24"/>
      <c r="I12" s="19"/>
      <c r="J12" s="24">
        <v>0</v>
      </c>
      <c r="K12" s="37">
        <f t="shared" si="1"/>
        <v>0</v>
      </c>
    </row>
    <row r="13" spans="1:11" ht="15" x14ac:dyDescent="0.2">
      <c r="A13" s="26"/>
      <c r="B13" s="19"/>
      <c r="C13" s="26">
        <v>0</v>
      </c>
      <c r="D13" s="37">
        <f t="shared" si="0"/>
        <v>0</v>
      </c>
      <c r="E13" s="29"/>
      <c r="F13" s="30"/>
      <c r="G13" s="29"/>
      <c r="H13" s="24"/>
      <c r="I13" s="19"/>
      <c r="J13" s="24">
        <v>0</v>
      </c>
      <c r="K13" s="37">
        <f t="shared" si="1"/>
        <v>0</v>
      </c>
    </row>
    <row r="14" spans="1:11" ht="15" x14ac:dyDescent="0.2">
      <c r="A14" s="26"/>
      <c r="B14" s="19"/>
      <c r="C14" s="26">
        <v>0</v>
      </c>
      <c r="D14" s="37">
        <f t="shared" si="0"/>
        <v>0</v>
      </c>
      <c r="E14" s="29"/>
      <c r="F14" s="30"/>
      <c r="G14" s="29"/>
      <c r="H14" s="24"/>
      <c r="I14" s="19"/>
      <c r="J14" s="24">
        <v>0</v>
      </c>
      <c r="K14" s="37">
        <f t="shared" si="1"/>
        <v>0</v>
      </c>
    </row>
    <row r="15" spans="1:11" ht="15" x14ac:dyDescent="0.2">
      <c r="A15" s="26"/>
      <c r="B15" s="19"/>
      <c r="C15" s="26">
        <v>0</v>
      </c>
      <c r="D15" s="37">
        <f t="shared" si="0"/>
        <v>0</v>
      </c>
      <c r="E15" s="29"/>
      <c r="F15" s="30"/>
      <c r="G15" s="29"/>
      <c r="H15" s="24"/>
      <c r="I15" s="19"/>
      <c r="J15" s="24">
        <v>0</v>
      </c>
      <c r="K15" s="37">
        <f t="shared" si="1"/>
        <v>0</v>
      </c>
    </row>
    <row r="16" spans="1:11" ht="15" x14ac:dyDescent="0.2">
      <c r="A16" s="26"/>
      <c r="B16" s="19"/>
      <c r="C16" s="26">
        <v>0</v>
      </c>
      <c r="D16" s="37">
        <f t="shared" si="0"/>
        <v>0</v>
      </c>
      <c r="E16" s="29"/>
      <c r="F16" s="30"/>
      <c r="G16" s="29"/>
      <c r="H16" s="24"/>
      <c r="I16" s="19"/>
      <c r="J16" s="24">
        <v>0</v>
      </c>
      <c r="K16" s="37">
        <f t="shared" si="1"/>
        <v>0</v>
      </c>
    </row>
    <row r="17" spans="1:11" ht="15" x14ac:dyDescent="0.2">
      <c r="A17" s="26"/>
      <c r="B17" s="19"/>
      <c r="C17" s="26">
        <v>0</v>
      </c>
      <c r="D17" s="37">
        <f t="shared" si="0"/>
        <v>0</v>
      </c>
      <c r="E17" s="29"/>
      <c r="F17" s="30"/>
      <c r="G17" s="29"/>
      <c r="H17" s="24"/>
      <c r="I17" s="19"/>
      <c r="J17" s="24">
        <v>0</v>
      </c>
      <c r="K17" s="37">
        <f t="shared" si="1"/>
        <v>0</v>
      </c>
    </row>
    <row r="18" spans="1:11" ht="15" x14ac:dyDescent="0.2">
      <c r="A18" s="26"/>
      <c r="B18" s="19"/>
      <c r="C18" s="26">
        <v>0</v>
      </c>
      <c r="D18" s="37">
        <f t="shared" si="0"/>
        <v>0</v>
      </c>
      <c r="E18" s="29"/>
      <c r="F18" s="30"/>
      <c r="G18" s="29"/>
      <c r="H18" s="24"/>
      <c r="I18" s="19"/>
      <c r="J18" s="24">
        <v>0</v>
      </c>
      <c r="K18" s="37">
        <f t="shared" si="1"/>
        <v>0</v>
      </c>
    </row>
    <row r="19" spans="1:11" ht="15" x14ac:dyDescent="0.2">
      <c r="A19" s="26"/>
      <c r="B19" s="19"/>
      <c r="C19" s="26">
        <v>0</v>
      </c>
      <c r="D19" s="37">
        <f t="shared" si="0"/>
        <v>0</v>
      </c>
      <c r="E19" s="29"/>
      <c r="F19" s="30"/>
      <c r="G19" s="29"/>
      <c r="H19" s="24"/>
      <c r="I19" s="19"/>
      <c r="J19" s="24">
        <v>0</v>
      </c>
      <c r="K19" s="37">
        <f t="shared" si="1"/>
        <v>0</v>
      </c>
    </row>
    <row r="20" spans="1:11" ht="15" x14ac:dyDescent="0.2">
      <c r="A20" s="26"/>
      <c r="B20" s="19"/>
      <c r="C20" s="26">
        <v>0</v>
      </c>
      <c r="D20" s="37">
        <f t="shared" si="0"/>
        <v>0</v>
      </c>
      <c r="E20" s="29"/>
      <c r="F20" s="30"/>
      <c r="G20" s="29"/>
      <c r="H20" s="24"/>
      <c r="I20" s="19"/>
      <c r="J20" s="24">
        <v>0</v>
      </c>
      <c r="K20" s="37">
        <f t="shared" si="1"/>
        <v>0</v>
      </c>
    </row>
    <row r="21" spans="1:11" ht="15" x14ac:dyDescent="0.2">
      <c r="A21" s="26"/>
      <c r="B21" s="19"/>
      <c r="C21" s="26">
        <v>0</v>
      </c>
      <c r="D21" s="37">
        <f t="shared" si="0"/>
        <v>0</v>
      </c>
      <c r="E21" s="29"/>
      <c r="F21" s="30"/>
      <c r="G21" s="29"/>
      <c r="H21" s="24"/>
      <c r="I21" s="19"/>
      <c r="J21" s="24">
        <v>0</v>
      </c>
      <c r="K21" s="37">
        <f t="shared" si="1"/>
        <v>0</v>
      </c>
    </row>
    <row r="22" spans="1:11" ht="15" x14ac:dyDescent="0.2">
      <c r="A22" s="26"/>
      <c r="B22" s="19"/>
      <c r="C22" s="26">
        <v>0</v>
      </c>
      <c r="D22" s="37">
        <f t="shared" si="0"/>
        <v>0</v>
      </c>
      <c r="E22" s="29"/>
      <c r="F22" s="30"/>
      <c r="G22" s="29"/>
      <c r="H22" s="24"/>
      <c r="I22" s="19"/>
      <c r="J22" s="24">
        <v>0</v>
      </c>
      <c r="K22" s="37">
        <f t="shared" si="1"/>
        <v>0</v>
      </c>
    </row>
    <row r="23" spans="1:11" ht="15" x14ac:dyDescent="0.2">
      <c r="A23" s="26"/>
      <c r="B23" s="19"/>
      <c r="C23" s="26">
        <v>0</v>
      </c>
      <c r="D23" s="37">
        <f t="shared" si="0"/>
        <v>0</v>
      </c>
      <c r="E23" s="29"/>
      <c r="F23" s="30"/>
      <c r="G23" s="29"/>
      <c r="H23" s="24"/>
      <c r="I23" s="19"/>
      <c r="J23" s="24">
        <v>0</v>
      </c>
      <c r="K23" s="37">
        <f t="shared" si="1"/>
        <v>0</v>
      </c>
    </row>
    <row r="24" spans="1:11" ht="15" x14ac:dyDescent="0.2">
      <c r="A24" s="26"/>
      <c r="B24" s="19"/>
      <c r="C24" s="26">
        <v>0</v>
      </c>
      <c r="D24" s="37">
        <f t="shared" si="0"/>
        <v>0</v>
      </c>
      <c r="E24" s="29"/>
      <c r="F24" s="30"/>
      <c r="G24" s="29"/>
      <c r="H24" s="24"/>
      <c r="I24" s="19"/>
      <c r="J24" s="24">
        <v>0</v>
      </c>
      <c r="K24" s="37">
        <f t="shared" si="1"/>
        <v>0</v>
      </c>
    </row>
    <row r="25" spans="1:11" ht="15" x14ac:dyDescent="0.2">
      <c r="A25" s="26"/>
      <c r="B25" s="19"/>
      <c r="C25" s="26">
        <v>0</v>
      </c>
      <c r="D25" s="37">
        <f t="shared" si="0"/>
        <v>0</v>
      </c>
      <c r="E25" s="29"/>
      <c r="F25" s="30"/>
      <c r="G25" s="29"/>
      <c r="H25" s="24"/>
      <c r="I25" s="19"/>
      <c r="J25" s="24">
        <v>0</v>
      </c>
      <c r="K25" s="37">
        <f t="shared" si="1"/>
        <v>0</v>
      </c>
    </row>
    <row r="26" spans="1:11" ht="15" x14ac:dyDescent="0.2">
      <c r="A26" s="26"/>
      <c r="B26" s="19"/>
      <c r="C26" s="26">
        <v>0</v>
      </c>
      <c r="D26" s="37">
        <f t="shared" si="0"/>
        <v>0</v>
      </c>
      <c r="E26" s="29"/>
      <c r="F26" s="30"/>
      <c r="G26" s="29"/>
      <c r="H26" s="24"/>
      <c r="I26" s="19"/>
      <c r="J26" s="24">
        <v>0</v>
      </c>
      <c r="K26" s="37">
        <f t="shared" si="1"/>
        <v>0</v>
      </c>
    </row>
    <row r="27" spans="1:11" ht="15" x14ac:dyDescent="0.2">
      <c r="A27" s="26"/>
      <c r="B27" s="19"/>
      <c r="C27" s="26">
        <v>0</v>
      </c>
      <c r="D27" s="37">
        <f t="shared" si="0"/>
        <v>0</v>
      </c>
      <c r="E27" s="29"/>
      <c r="F27" s="30"/>
      <c r="G27" s="29"/>
      <c r="H27" s="24"/>
      <c r="I27" s="19"/>
      <c r="J27" s="24">
        <v>0</v>
      </c>
      <c r="K27" s="37">
        <f t="shared" si="1"/>
        <v>0</v>
      </c>
    </row>
    <row r="28" spans="1:11" ht="15" x14ac:dyDescent="0.2">
      <c r="A28" s="26"/>
      <c r="B28" s="19"/>
      <c r="C28" s="26">
        <v>0</v>
      </c>
      <c r="D28" s="37">
        <f t="shared" si="0"/>
        <v>0</v>
      </c>
      <c r="E28" s="29"/>
      <c r="F28" s="30"/>
      <c r="G28" s="29"/>
      <c r="H28" s="24"/>
      <c r="I28" s="19"/>
      <c r="J28" s="24">
        <v>0</v>
      </c>
      <c r="K28" s="37">
        <f t="shared" si="1"/>
        <v>0</v>
      </c>
    </row>
    <row r="29" spans="1:11" ht="15" x14ac:dyDescent="0.2">
      <c r="A29" s="26"/>
      <c r="B29" s="19"/>
      <c r="C29" s="26">
        <v>0</v>
      </c>
      <c r="D29" s="37">
        <f t="shared" si="0"/>
        <v>0</v>
      </c>
      <c r="E29" s="29"/>
      <c r="F29" s="30"/>
      <c r="G29" s="29"/>
      <c r="H29" s="24"/>
      <c r="I29" s="19"/>
      <c r="J29" s="24">
        <v>0</v>
      </c>
      <c r="K29" s="37">
        <f t="shared" si="1"/>
        <v>0</v>
      </c>
    </row>
    <row r="30" spans="1:11" ht="15" x14ac:dyDescent="0.2">
      <c r="A30" s="26"/>
      <c r="B30" s="19"/>
      <c r="C30" s="26">
        <v>0</v>
      </c>
      <c r="D30" s="37">
        <f t="shared" si="0"/>
        <v>0</v>
      </c>
      <c r="E30" s="29"/>
      <c r="F30" s="30"/>
      <c r="G30" s="29"/>
      <c r="H30" s="24"/>
      <c r="I30" s="19"/>
      <c r="J30" s="24">
        <v>0</v>
      </c>
      <c r="K30" s="37">
        <f t="shared" si="1"/>
        <v>0</v>
      </c>
    </row>
    <row r="31" spans="1:11" ht="17.25" x14ac:dyDescent="0.2">
      <c r="A31" s="26"/>
      <c r="B31" s="19"/>
      <c r="C31" s="26">
        <v>0</v>
      </c>
      <c r="D31" s="38">
        <f t="shared" si="0"/>
        <v>0</v>
      </c>
      <c r="E31" s="29"/>
      <c r="F31" s="30"/>
      <c r="G31" s="29"/>
      <c r="H31" s="24"/>
      <c r="I31" s="19"/>
      <c r="J31" s="24">
        <v>0</v>
      </c>
      <c r="K31" s="38">
        <f t="shared" si="1"/>
        <v>0</v>
      </c>
    </row>
    <row r="32" spans="1:11" ht="15" x14ac:dyDescent="0.2">
      <c r="A32" s="29"/>
      <c r="B32" s="29"/>
      <c r="C32" s="39"/>
      <c r="D32" s="37"/>
      <c r="E32" s="29"/>
      <c r="F32" s="30"/>
      <c r="G32" s="29"/>
      <c r="H32" s="29"/>
      <c r="I32" s="29"/>
      <c r="J32" s="39"/>
      <c r="K32" s="37"/>
    </row>
    <row r="33" spans="1:11" s="13" customFormat="1" ht="17.25" x14ac:dyDescent="0.2">
      <c r="A33" s="33" t="s">
        <v>53</v>
      </c>
      <c r="B33" s="33"/>
      <c r="C33" s="33"/>
      <c r="D33" s="40">
        <f>SUM(D4:D31)</f>
        <v>0</v>
      </c>
      <c r="E33" s="33"/>
      <c r="F33" s="34"/>
      <c r="G33" s="33"/>
      <c r="H33" s="33" t="s">
        <v>53</v>
      </c>
      <c r="I33" s="33"/>
      <c r="J33" s="33"/>
      <c r="K33" s="40">
        <f>SUM(K4:K31)</f>
        <v>0</v>
      </c>
    </row>
    <row r="34" spans="1:11" ht="15" x14ac:dyDescent="0.2">
      <c r="A34" s="29"/>
      <c r="B34" s="29"/>
      <c r="C34" s="29"/>
      <c r="D34" s="29"/>
      <c r="E34" s="29"/>
      <c r="F34" s="29"/>
      <c r="G34" s="29"/>
    </row>
    <row r="35" spans="1:11" ht="15" x14ac:dyDescent="0.2">
      <c r="A35" s="29"/>
      <c r="B35" s="29"/>
      <c r="C35" s="29"/>
      <c r="D35" s="29"/>
      <c r="E35" s="29"/>
      <c r="F35" s="29"/>
      <c r="G35" s="29"/>
    </row>
    <row r="36" spans="1:11" ht="15" x14ac:dyDescent="0.2">
      <c r="A36" s="29"/>
      <c r="B36" s="29"/>
      <c r="C36" s="29"/>
      <c r="D36" s="29"/>
      <c r="E36" s="29"/>
      <c r="F36" s="29"/>
      <c r="G36" s="29"/>
    </row>
    <row r="37" spans="1:11" ht="15" x14ac:dyDescent="0.2">
      <c r="A37" s="29"/>
      <c r="B37" s="29"/>
      <c r="C37" s="29"/>
      <c r="D37" s="29"/>
      <c r="E37" s="29"/>
      <c r="F37" s="29"/>
      <c r="G37" s="29"/>
    </row>
    <row r="38" spans="1:11" ht="15" x14ac:dyDescent="0.2">
      <c r="A38" s="29"/>
      <c r="B38" s="29"/>
      <c r="C38" s="29"/>
      <c r="D38" s="29"/>
      <c r="E38" s="29"/>
      <c r="F38" s="29"/>
      <c r="G38" s="29"/>
    </row>
    <row r="39" spans="1:11" ht="15" x14ac:dyDescent="0.2">
      <c r="A39" s="29"/>
      <c r="B39" s="29"/>
      <c r="C39" s="29"/>
      <c r="D39" s="29"/>
      <c r="E39" s="29"/>
      <c r="F39" s="29"/>
      <c r="G39" s="29"/>
    </row>
    <row r="40" spans="1:11" ht="15" x14ac:dyDescent="0.2">
      <c r="A40" s="29"/>
      <c r="B40" s="29"/>
      <c r="C40" s="29"/>
      <c r="D40" s="29"/>
      <c r="E40" s="29"/>
      <c r="F40" s="29"/>
      <c r="G40" s="29"/>
    </row>
    <row r="41" spans="1:11" ht="15" x14ac:dyDescent="0.2">
      <c r="A41" s="29"/>
      <c r="B41" s="29"/>
      <c r="C41" s="29"/>
      <c r="D41" s="29"/>
      <c r="E41" s="29"/>
      <c r="F41" s="29"/>
      <c r="G41" s="29"/>
    </row>
    <row r="42" spans="1:11" ht="15" x14ac:dyDescent="0.2">
      <c r="A42" s="29"/>
      <c r="B42" s="29"/>
      <c r="C42" s="29"/>
      <c r="D42" s="29"/>
      <c r="E42" s="29"/>
      <c r="F42" s="29"/>
      <c r="G42" s="29"/>
    </row>
    <row r="43" spans="1:11" ht="15" x14ac:dyDescent="0.2">
      <c r="A43" s="29"/>
      <c r="B43" s="29"/>
      <c r="C43" s="29"/>
      <c r="D43" s="29"/>
      <c r="E43" s="29"/>
      <c r="F43" s="29"/>
      <c r="G43" s="29"/>
    </row>
    <row r="44" spans="1:11" ht="15" x14ac:dyDescent="0.2">
      <c r="A44" s="29"/>
      <c r="B44" s="29"/>
      <c r="C44" s="29"/>
      <c r="D44" s="29"/>
      <c r="E44" s="29"/>
      <c r="F44" s="29"/>
      <c r="G44" s="29"/>
    </row>
    <row r="45" spans="1:11" ht="15" x14ac:dyDescent="0.2">
      <c r="A45" s="29"/>
      <c r="B45" s="29"/>
      <c r="C45" s="29"/>
      <c r="D45" s="29"/>
      <c r="E45" s="29"/>
      <c r="F45" s="29"/>
      <c r="G45" s="29"/>
    </row>
    <row r="46" spans="1:11" ht="15" x14ac:dyDescent="0.2">
      <c r="A46" s="29"/>
      <c r="B46" s="29"/>
      <c r="C46" s="29"/>
      <c r="D46" s="29"/>
      <c r="E46" s="29"/>
      <c r="F46" s="29"/>
      <c r="G46" s="29"/>
    </row>
    <row r="47" spans="1:11" ht="15" x14ac:dyDescent="0.2">
      <c r="A47" s="29"/>
      <c r="B47" s="29"/>
      <c r="C47" s="29"/>
      <c r="D47" s="29"/>
      <c r="E47" s="29"/>
      <c r="F47" s="29"/>
      <c r="G47" s="29"/>
    </row>
    <row r="48" spans="1:11" ht="15" x14ac:dyDescent="0.2">
      <c r="A48" s="29"/>
      <c r="B48" s="29"/>
      <c r="C48" s="29"/>
      <c r="D48" s="29"/>
      <c r="E48" s="29"/>
      <c r="F48" s="29"/>
      <c r="G48" s="29"/>
    </row>
    <row r="49" spans="1:7" ht="15" x14ac:dyDescent="0.2">
      <c r="A49" s="29"/>
      <c r="B49" s="29"/>
      <c r="C49" s="29"/>
      <c r="D49" s="29"/>
      <c r="E49" s="29"/>
      <c r="F49" s="29"/>
      <c r="G49" s="29"/>
    </row>
    <row r="50" spans="1:7" ht="15" x14ac:dyDescent="0.2">
      <c r="A50" s="29"/>
      <c r="B50" s="29"/>
      <c r="C50" s="29"/>
      <c r="D50" s="29"/>
      <c r="E50" s="29"/>
      <c r="F50" s="29"/>
      <c r="G50" s="29"/>
    </row>
    <row r="51" spans="1:7" ht="15" x14ac:dyDescent="0.2">
      <c r="A51" s="29"/>
      <c r="B51" s="29"/>
      <c r="C51" s="29"/>
      <c r="D51" s="29"/>
      <c r="E51" s="29"/>
      <c r="F51" s="29"/>
      <c r="G51" s="29"/>
    </row>
    <row r="52" spans="1:7" ht="15" x14ac:dyDescent="0.2">
      <c r="A52" s="29"/>
      <c r="B52" s="29"/>
      <c r="C52" s="29"/>
      <c r="D52" s="29"/>
      <c r="E52" s="29"/>
      <c r="F52" s="29"/>
      <c r="G52" s="29"/>
    </row>
    <row r="53" spans="1:7" ht="15" x14ac:dyDescent="0.2">
      <c r="A53" s="29"/>
      <c r="B53" s="29"/>
      <c r="C53" s="29"/>
      <c r="D53" s="29"/>
      <c r="E53" s="29"/>
      <c r="F53" s="29"/>
      <c r="G53" s="29"/>
    </row>
    <row r="54" spans="1:7" ht="15" x14ac:dyDescent="0.2">
      <c r="A54" s="29"/>
      <c r="B54" s="29"/>
      <c r="C54" s="29"/>
      <c r="D54" s="29"/>
      <c r="E54" s="29"/>
      <c r="F54" s="29"/>
      <c r="G54" s="29"/>
    </row>
    <row r="55" spans="1:7" ht="15" x14ac:dyDescent="0.2">
      <c r="A55" s="29"/>
      <c r="B55" s="29"/>
      <c r="C55" s="29"/>
      <c r="D55" s="29"/>
      <c r="E55" s="29"/>
      <c r="F55" s="29"/>
      <c r="G55" s="29"/>
    </row>
    <row r="56" spans="1:7" ht="15" x14ac:dyDescent="0.2">
      <c r="A56" s="29"/>
      <c r="B56" s="29"/>
      <c r="C56" s="29"/>
      <c r="D56" s="29"/>
      <c r="E56" s="29"/>
      <c r="F56" s="29"/>
      <c r="G56" s="29"/>
    </row>
    <row r="57" spans="1:7" ht="15" x14ac:dyDescent="0.2">
      <c r="A57" s="29"/>
      <c r="B57" s="29"/>
      <c r="C57" s="29"/>
      <c r="D57" s="29"/>
      <c r="E57" s="29"/>
      <c r="F57" s="29"/>
      <c r="G57" s="29"/>
    </row>
    <row r="58" spans="1:7" ht="15" x14ac:dyDescent="0.2">
      <c r="A58" s="29"/>
      <c r="B58" s="29"/>
      <c r="C58" s="29"/>
      <c r="D58" s="29"/>
      <c r="E58" s="29"/>
      <c r="F58" s="29"/>
      <c r="G58" s="29"/>
    </row>
    <row r="59" spans="1:7" ht="15" x14ac:dyDescent="0.2">
      <c r="A59" s="29"/>
      <c r="B59" s="29"/>
      <c r="C59" s="29"/>
      <c r="D59" s="29"/>
      <c r="E59" s="29"/>
      <c r="F59" s="29"/>
      <c r="G59" s="29"/>
    </row>
    <row r="60" spans="1:7" ht="15" x14ac:dyDescent="0.2">
      <c r="A60" s="29"/>
      <c r="B60" s="29"/>
      <c r="C60" s="29"/>
      <c r="D60" s="29"/>
      <c r="E60" s="29"/>
      <c r="F60" s="29"/>
      <c r="G60" s="29"/>
    </row>
    <row r="61" spans="1:7" ht="15" x14ac:dyDescent="0.2">
      <c r="A61" s="29"/>
      <c r="B61" s="29"/>
      <c r="C61" s="29"/>
      <c r="D61" s="29"/>
      <c r="E61" s="29"/>
      <c r="F61" s="29"/>
      <c r="G61" s="29"/>
    </row>
    <row r="62" spans="1:7" ht="15" x14ac:dyDescent="0.2">
      <c r="A62" s="29"/>
      <c r="B62" s="29"/>
      <c r="C62" s="29"/>
      <c r="D62" s="29"/>
      <c r="E62" s="29"/>
      <c r="F62" s="29"/>
      <c r="G62" s="29"/>
    </row>
    <row r="63" spans="1:7" ht="15" x14ac:dyDescent="0.2">
      <c r="A63" s="29"/>
      <c r="B63" s="29"/>
      <c r="C63" s="29"/>
      <c r="D63" s="29"/>
      <c r="E63" s="29"/>
      <c r="F63" s="29"/>
      <c r="G63" s="29"/>
    </row>
    <row r="64" spans="1:7" ht="15" x14ac:dyDescent="0.2">
      <c r="A64" s="29"/>
      <c r="B64" s="29"/>
      <c r="C64" s="29"/>
      <c r="D64" s="29"/>
      <c r="E64" s="29"/>
      <c r="F64" s="29"/>
      <c r="G64" s="29"/>
    </row>
    <row r="65" spans="1:7" ht="15" x14ac:dyDescent="0.2">
      <c r="A65" s="29"/>
      <c r="B65" s="29"/>
      <c r="C65" s="29"/>
      <c r="D65" s="29"/>
      <c r="E65" s="29"/>
      <c r="F65" s="29"/>
      <c r="G65" s="29"/>
    </row>
    <row r="66" spans="1:7" ht="15" x14ac:dyDescent="0.2">
      <c r="A66" s="29"/>
      <c r="B66" s="29"/>
      <c r="C66" s="29"/>
      <c r="D66" s="29"/>
      <c r="E66" s="29"/>
      <c r="F66" s="29"/>
      <c r="G66" s="29"/>
    </row>
    <row r="67" spans="1:7" ht="15" x14ac:dyDescent="0.2">
      <c r="A67" s="29"/>
      <c r="B67" s="29"/>
      <c r="C67" s="29"/>
      <c r="D67" s="29"/>
      <c r="E67" s="29"/>
      <c r="F67" s="29"/>
      <c r="G67" s="29"/>
    </row>
    <row r="68" spans="1:7" ht="15" x14ac:dyDescent="0.2">
      <c r="A68" s="29"/>
      <c r="B68" s="29"/>
      <c r="C68" s="29"/>
      <c r="D68" s="29"/>
      <c r="E68" s="29"/>
      <c r="F68" s="29"/>
      <c r="G68" s="29"/>
    </row>
    <row r="69" spans="1:7" ht="15" x14ac:dyDescent="0.2">
      <c r="A69" s="29"/>
      <c r="B69" s="29"/>
      <c r="C69" s="29"/>
      <c r="D69" s="29"/>
      <c r="E69" s="29"/>
      <c r="F69" s="29"/>
      <c r="G69" s="29"/>
    </row>
    <row r="70" spans="1:7" ht="15" x14ac:dyDescent="0.2">
      <c r="A70" s="29"/>
      <c r="B70" s="29"/>
      <c r="C70" s="29"/>
      <c r="D70" s="29"/>
      <c r="E70" s="29"/>
      <c r="F70" s="29"/>
      <c r="G70" s="29"/>
    </row>
    <row r="71" spans="1:7" ht="15" x14ac:dyDescent="0.2">
      <c r="A71" s="29"/>
      <c r="B71" s="29"/>
      <c r="C71" s="29"/>
      <c r="D71" s="29"/>
      <c r="E71" s="29"/>
      <c r="F71" s="29"/>
      <c r="G71" s="29"/>
    </row>
    <row r="72" spans="1:7" ht="15" x14ac:dyDescent="0.2">
      <c r="A72" s="29"/>
      <c r="B72" s="29"/>
      <c r="C72" s="29"/>
      <c r="D72" s="29"/>
      <c r="E72" s="29"/>
      <c r="F72" s="29"/>
      <c r="G72" s="29"/>
    </row>
    <row r="73" spans="1:7" ht="15" x14ac:dyDescent="0.2">
      <c r="A73" s="29"/>
      <c r="B73" s="29"/>
      <c r="C73" s="29"/>
      <c r="D73" s="29"/>
      <c r="E73" s="29"/>
      <c r="F73" s="29"/>
      <c r="G73" s="29"/>
    </row>
  </sheetData>
  <mergeCells count="4">
    <mergeCell ref="A1:D1"/>
    <mergeCell ref="A2:D2"/>
    <mergeCell ref="H1:K1"/>
    <mergeCell ref="H2:J2"/>
  </mergeCells>
  <pageMargins left="0.7" right="0.7" top="0.75" bottom="0.75" header="0.3" footer="0.3"/>
  <pageSetup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Employer</vt:lpstr>
      <vt:lpstr>Self Employed</vt:lpstr>
      <vt:lpstr>Salary Cap Calc</vt:lpstr>
      <vt:lpstr>Seasonal Employer</vt:lpstr>
      <vt:lpstr>Seasonal Self Employed</vt:lpstr>
      <vt:lpstr>Seasonal Salary Cap Calc</vt:lpstr>
      <vt:lpstr>New Business</vt:lpstr>
      <vt:lpstr>New Bus Self Employed</vt:lpstr>
      <vt:lpstr>New Bus Salary Cap Calc</vt:lpstr>
    </vt:vector>
  </TitlesOfParts>
  <Company>Bremer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Epsen, Kayla, M</dc:creator>
  <cp:lastModifiedBy>Vicki M</cp:lastModifiedBy>
  <cp:lastPrinted>2020-04-01T23:53:07Z</cp:lastPrinted>
  <dcterms:created xsi:type="dcterms:W3CDTF">2009-10-07T16:23:05Z</dcterms:created>
  <dcterms:modified xsi:type="dcterms:W3CDTF">2020-04-09T18:23:21Z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sync_ProviderInitializationData">
    <vt:lpwstr>https://home.bremeronline.net</vt:lpwstr>
  </property>
  <property fmtid="{D5CDD505-2E9C-101B-9397-08002B2CF9AE}" pid="3" name="Offisync_UpdateToken">
    <vt:lpwstr>1</vt:lpwstr>
  </property>
  <property fmtid="{D5CDD505-2E9C-101B-9397-08002B2CF9AE}" pid="4" name="Offisync_ServerID">
    <vt:lpwstr>8aa5532e-6be5-4df4-b364-755c942a4d70</vt:lpwstr>
  </property>
  <property fmtid="{D5CDD505-2E9C-101B-9397-08002B2CF9AE}" pid="5" name="Offisync_UniqueId">
    <vt:lpwstr>3783</vt:lpwstr>
  </property>
  <property fmtid="{D5CDD505-2E9C-101B-9397-08002B2CF9AE}" pid="6" name="Jive_VersionGuid">
    <vt:lpwstr>417f844782744f5b81b785a33c53d35e</vt:lpwstr>
  </property>
  <property fmtid="{D5CDD505-2E9C-101B-9397-08002B2CF9AE}" pid="7" name="Jive_LatestUserAccountName">
    <vt:lpwstr>k446212</vt:lpwstr>
  </property>
  <property fmtid="{D5CDD505-2E9C-101B-9397-08002B2CF9AE}" pid="8" name="Jive_ModifiedButNotPublished">
    <vt:lpwstr>True</vt:lpwstr>
  </property>
</Properties>
</file>